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theme/themeOverride5.xml" ContentType="application/vnd.openxmlformats-officedocument.themeOverride+xml"/>
  <Override PartName="/xl/charts/chart10.xml" ContentType="application/vnd.openxmlformats-officedocument.drawingml.chart+xml"/>
  <Override PartName="/xl/theme/themeOverride6.xml" ContentType="application/vnd.openxmlformats-officedocument.themeOverride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theme/themeOverride7.xml" ContentType="application/vnd.openxmlformats-officedocument.themeOverride+xml"/>
  <Override PartName="/xl/charts/chart12.xml" ContentType="application/vnd.openxmlformats-officedocument.drawingml.chart+xml"/>
  <Override PartName="/xl/theme/themeOverride8.xml" ContentType="application/vnd.openxmlformats-officedocument.themeOverrid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mma\Desktop\Biogeo- sciences\"/>
    </mc:Choice>
  </mc:AlternateContent>
  <bookViews>
    <workbookView xWindow="0" yWindow="0" windowWidth="20490" windowHeight="7530" xr2:uid="{00000000-000D-0000-FFFF-FFFF00000000}"/>
  </bookViews>
  <sheets>
    <sheet name="Info" sheetId="1" r:id="rId1"/>
    <sheet name="NH4" sheetId="2" r:id="rId2"/>
    <sheet name="Chla" sheetId="3" r:id="rId3"/>
    <sheet name="Bac" sheetId="4" r:id="rId4"/>
    <sheet name="PP" sheetId="5" r:id="rId5"/>
    <sheet name="Virus" sheetId="6" r:id="rId6"/>
    <sheet name="PP_Species" sheetId="7" r:id="rId7"/>
    <sheet name="N-15" sheetId="8" r:id="rId8"/>
  </sheets>
  <calcPr calcId="171027"/>
</workbook>
</file>

<file path=xl/calcChain.xml><?xml version="1.0" encoding="utf-8"?>
<calcChain xmlns="http://schemas.openxmlformats.org/spreadsheetml/2006/main">
  <c r="AL63" i="8" l="1"/>
  <c r="AK63" i="8"/>
  <c r="AI62" i="8"/>
  <c r="AJ62" i="8"/>
  <c r="AH62" i="8"/>
  <c r="AH60" i="8"/>
  <c r="AI61" i="8"/>
  <c r="AJ61" i="8"/>
  <c r="AK61" i="8"/>
  <c r="AL61" i="8"/>
  <c r="AH61" i="8"/>
  <c r="AK62" i="8"/>
  <c r="AL62" i="8"/>
  <c r="AK60" i="8"/>
  <c r="O91" i="4" l="1"/>
  <c r="O90" i="4"/>
  <c r="AJ42" i="8" l="1"/>
  <c r="AI41" i="8"/>
  <c r="AJ41" i="8"/>
  <c r="AH41" i="8"/>
  <c r="U37" i="8" l="1"/>
  <c r="V37" i="8" s="1"/>
  <c r="W37" i="8" s="1"/>
  <c r="S37" i="8"/>
  <c r="U36" i="8"/>
  <c r="V36" i="8" s="1"/>
  <c r="W36" i="8" s="1"/>
  <c r="S36" i="8"/>
  <c r="U35" i="8"/>
  <c r="S35" i="8"/>
  <c r="T35" i="8" s="1"/>
  <c r="V35" i="8" s="1"/>
  <c r="W35" i="8" s="1"/>
  <c r="AB27" i="8" s="1"/>
  <c r="AC27" i="8" s="1"/>
  <c r="U34" i="8"/>
  <c r="S34" i="8"/>
  <c r="T34" i="8" s="1"/>
  <c r="U33" i="8"/>
  <c r="T33" i="8"/>
  <c r="V33" i="8" s="1"/>
  <c r="W33" i="8" s="1"/>
  <c r="AB25" i="8" s="1"/>
  <c r="AC25" i="8" s="1"/>
  <c r="S33" i="8"/>
  <c r="U31" i="8"/>
  <c r="S31" i="8"/>
  <c r="T31" i="8" s="1"/>
  <c r="V31" i="8" s="1"/>
  <c r="W31" i="8" s="1"/>
  <c r="AD26" i="8" s="1"/>
  <c r="U30" i="8"/>
  <c r="T30" i="8"/>
  <c r="S30" i="8"/>
  <c r="U29" i="8"/>
  <c r="S29" i="8"/>
  <c r="T29" i="8" s="1"/>
  <c r="V29" i="8" s="1"/>
  <c r="W29" i="8" s="1"/>
  <c r="U28" i="8"/>
  <c r="S28" i="8"/>
  <c r="T28" i="8" s="1"/>
  <c r="V28" i="8" s="1"/>
  <c r="W28" i="8" s="1"/>
  <c r="U27" i="8"/>
  <c r="S27" i="8"/>
  <c r="T27" i="8" s="1"/>
  <c r="U26" i="8"/>
  <c r="S26" i="8"/>
  <c r="T26" i="8" s="1"/>
  <c r="V26" i="8" s="1"/>
  <c r="W26" i="8" s="1"/>
  <c r="AB24" i="8" s="1"/>
  <c r="AC24" i="8" s="1"/>
  <c r="U25" i="8"/>
  <c r="S25" i="8"/>
  <c r="T25" i="8" s="1"/>
  <c r="U24" i="8"/>
  <c r="T24" i="8"/>
  <c r="V24" i="8" s="1"/>
  <c r="W24" i="8" s="1"/>
  <c r="AB22" i="8" s="1"/>
  <c r="AC22" i="8" s="1"/>
  <c r="S24" i="8"/>
  <c r="U23" i="8"/>
  <c r="S23" i="8"/>
  <c r="T23" i="8" s="1"/>
  <c r="V23" i="8" s="1"/>
  <c r="W23" i="8" s="1"/>
  <c r="AD24" i="8" s="1"/>
  <c r="U22" i="8"/>
  <c r="T22" i="8"/>
  <c r="S22" i="8"/>
  <c r="U21" i="8"/>
  <c r="S21" i="8"/>
  <c r="T21" i="8" s="1"/>
  <c r="V21" i="8" s="1"/>
  <c r="W21" i="8" s="1"/>
  <c r="U20" i="8"/>
  <c r="S20" i="8"/>
  <c r="T20" i="8" s="1"/>
  <c r="V20" i="8" s="1"/>
  <c r="W20" i="8" s="1"/>
  <c r="U19" i="8"/>
  <c r="S19" i="8"/>
  <c r="T19" i="8" s="1"/>
  <c r="U18" i="8"/>
  <c r="S18" i="8"/>
  <c r="T18" i="8" s="1"/>
  <c r="V18" i="8" s="1"/>
  <c r="W18" i="8" s="1"/>
  <c r="V25" i="8" l="1"/>
  <c r="W25" i="8" s="1"/>
  <c r="AB23" i="8" s="1"/>
  <c r="AC23" i="8" s="1"/>
  <c r="V34" i="8"/>
  <c r="W34" i="8" s="1"/>
  <c r="AB26" i="8" s="1"/>
  <c r="AC26" i="8" s="1"/>
  <c r="AE26" i="8" s="1"/>
  <c r="AB34" i="8"/>
  <c r="V19" i="8"/>
  <c r="W19" i="8" s="1"/>
  <c r="AB35" i="8" s="1"/>
  <c r="V22" i="8"/>
  <c r="W22" i="8" s="1"/>
  <c r="AD23" i="8" s="1"/>
  <c r="V27" i="8"/>
  <c r="W27" i="8" s="1"/>
  <c r="AB37" i="8" s="1"/>
  <c r="V30" i="8"/>
  <c r="W30" i="8" s="1"/>
  <c r="AB36" i="8" s="1"/>
  <c r="AA34" i="8"/>
  <c r="AD22" i="8"/>
  <c r="AE22" i="8"/>
  <c r="AA35" i="8"/>
  <c r="AE24" i="8"/>
  <c r="AK41" i="8" l="1"/>
  <c r="U52" i="8"/>
  <c r="AL42" i="8"/>
  <c r="V53" i="8"/>
  <c r="AD25" i="8"/>
  <c r="AE25" i="8" s="1"/>
  <c r="AE23" i="8"/>
  <c r="AK42" i="8"/>
  <c r="V52" i="8"/>
  <c r="AA36" i="8"/>
  <c r="AA37" i="8"/>
  <c r="G17" i="2"/>
  <c r="AA11" i="5"/>
  <c r="AB11" i="5"/>
  <c r="Z11" i="5"/>
  <c r="J86" i="4"/>
  <c r="F48" i="2" l="1"/>
  <c r="AL41" i="8"/>
  <c r="U53" i="8"/>
  <c r="Q18" i="4" l="1"/>
  <c r="R18" i="4"/>
  <c r="S18" i="4"/>
  <c r="V18" i="4"/>
  <c r="W18" i="4"/>
  <c r="X18" i="4"/>
  <c r="Y18" i="4"/>
  <c r="P18" i="4"/>
  <c r="S10" i="6"/>
  <c r="S11" i="6"/>
  <c r="S12" i="6"/>
  <c r="S14" i="6"/>
  <c r="T15" i="6"/>
  <c r="T16" i="6"/>
  <c r="S20" i="6"/>
  <c r="T21" i="6"/>
  <c r="T22" i="6"/>
  <c r="T23" i="6"/>
  <c r="T25" i="6"/>
  <c r="T26" i="6"/>
  <c r="T27" i="6"/>
  <c r="R9" i="6"/>
  <c r="L6" i="6"/>
  <c r="L7" i="6"/>
  <c r="L8" i="6"/>
  <c r="R10" i="6" s="1"/>
  <c r="L9" i="6"/>
  <c r="R11" i="6" s="1"/>
  <c r="L10" i="6"/>
  <c r="R12" i="6" s="1"/>
  <c r="L11" i="6"/>
  <c r="R13" i="6" s="1"/>
  <c r="L12" i="6"/>
  <c r="R14" i="6" s="1"/>
  <c r="L13" i="6"/>
  <c r="R15" i="6" s="1"/>
  <c r="L14" i="6"/>
  <c r="R16" i="6" s="1"/>
  <c r="L15" i="6"/>
  <c r="R17" i="6" s="1"/>
  <c r="L16" i="6"/>
  <c r="L17" i="6"/>
  <c r="L18" i="6"/>
  <c r="R20" i="6" s="1"/>
  <c r="L19" i="6"/>
  <c r="R21" i="6" s="1"/>
  <c r="L20" i="6"/>
  <c r="R22" i="6" s="1"/>
  <c r="L21" i="6"/>
  <c r="R23" i="6" s="1"/>
  <c r="L22" i="6"/>
  <c r="R24" i="6" s="1"/>
  <c r="L23" i="6"/>
  <c r="R25" i="6" s="1"/>
  <c r="L24" i="6"/>
  <c r="R26" i="6" s="1"/>
  <c r="L25" i="6"/>
  <c r="R27" i="6" s="1"/>
  <c r="L26" i="6"/>
  <c r="R28" i="6" s="1"/>
  <c r="L27" i="6"/>
  <c r="L28" i="6"/>
  <c r="L29" i="6"/>
  <c r="S9" i="6" s="1"/>
  <c r="L30" i="6"/>
  <c r="L31" i="6"/>
  <c r="L32" i="6"/>
  <c r="L33" i="6"/>
  <c r="S13" i="6" s="1"/>
  <c r="L34" i="6"/>
  <c r="L35" i="6"/>
  <c r="S15" i="6" s="1"/>
  <c r="L36" i="6"/>
  <c r="S16" i="6" s="1"/>
  <c r="L37" i="6"/>
  <c r="S17" i="6" s="1"/>
  <c r="L38" i="6"/>
  <c r="L39" i="6"/>
  <c r="L40" i="6"/>
  <c r="L41" i="6"/>
  <c r="S21" i="6" s="1"/>
  <c r="L42" i="6"/>
  <c r="S22" i="6" s="1"/>
  <c r="L43" i="6"/>
  <c r="S23" i="6" s="1"/>
  <c r="L44" i="6"/>
  <c r="S24" i="6" s="1"/>
  <c r="L45" i="6"/>
  <c r="S25" i="6" s="1"/>
  <c r="L46" i="6"/>
  <c r="S26" i="6" s="1"/>
  <c r="L47" i="6"/>
  <c r="S27" i="6" s="1"/>
  <c r="L48" i="6"/>
  <c r="S28" i="6" s="1"/>
  <c r="L49" i="6"/>
  <c r="L50" i="6"/>
  <c r="L51" i="6"/>
  <c r="Q9" i="6" s="1"/>
  <c r="L52" i="6"/>
  <c r="Q10" i="6" s="1"/>
  <c r="L53" i="6"/>
  <c r="Q11" i="6" s="1"/>
  <c r="L54" i="6"/>
  <c r="Q12" i="6" s="1"/>
  <c r="L55" i="6"/>
  <c r="Q13" i="6" s="1"/>
  <c r="L56" i="6"/>
  <c r="Q14" i="6" s="1"/>
  <c r="L57" i="6"/>
  <c r="L58" i="6"/>
  <c r="Q16" i="6" s="1"/>
  <c r="L59" i="6"/>
  <c r="Q17" i="6" s="1"/>
  <c r="L60" i="6"/>
  <c r="L61" i="6"/>
  <c r="L62" i="6"/>
  <c r="Q20" i="6" s="1"/>
  <c r="L63" i="6"/>
  <c r="Q21" i="6" s="1"/>
  <c r="L64" i="6"/>
  <c r="Q22" i="6" s="1"/>
  <c r="L65" i="6"/>
  <c r="Q23" i="6" s="1"/>
  <c r="L66" i="6"/>
  <c r="Q24" i="6" s="1"/>
  <c r="L67" i="6"/>
  <c r="Q25" i="6" s="1"/>
  <c r="L68" i="6"/>
  <c r="Q26" i="6" s="1"/>
  <c r="L69" i="6"/>
  <c r="Q27" i="6" s="1"/>
  <c r="L70" i="6"/>
  <c r="Q28" i="6" s="1"/>
  <c r="L71" i="6"/>
  <c r="L72" i="6"/>
  <c r="L73" i="6"/>
  <c r="T9" i="6" s="1"/>
  <c r="L74" i="6"/>
  <c r="T10" i="6" s="1"/>
  <c r="L75" i="6"/>
  <c r="T11" i="6" s="1"/>
  <c r="L76" i="6"/>
  <c r="T12" i="6" s="1"/>
  <c r="L77" i="6"/>
  <c r="T13" i="6" s="1"/>
  <c r="L78" i="6"/>
  <c r="T14" i="6" s="1"/>
  <c r="L79" i="6"/>
  <c r="L80" i="6"/>
  <c r="L81" i="6"/>
  <c r="T17" i="6" s="1"/>
  <c r="L82" i="6"/>
  <c r="Q15" i="6" s="1"/>
  <c r="L83" i="6"/>
  <c r="L84" i="6"/>
  <c r="L85" i="6"/>
  <c r="T20" i="6" s="1"/>
  <c r="L86" i="6"/>
  <c r="L87" i="6"/>
  <c r="L88" i="6"/>
  <c r="L89" i="6"/>
  <c r="T24" i="6" s="1"/>
  <c r="L90" i="6"/>
  <c r="L91" i="6"/>
  <c r="L92" i="6"/>
  <c r="L93" i="6"/>
  <c r="T28" i="6" s="1"/>
  <c r="L94" i="6"/>
  <c r="L95" i="6"/>
  <c r="L96" i="6"/>
  <c r="L97" i="6"/>
  <c r="L98" i="6"/>
  <c r="L5" i="6"/>
  <c r="K6" i="4"/>
  <c r="Q9" i="4" s="1"/>
  <c r="AE16" i="4" s="1"/>
  <c r="AG16" i="4" s="1"/>
  <c r="K7" i="4"/>
  <c r="Q10" i="4" s="1"/>
  <c r="AE17" i="4" s="1"/>
  <c r="AG17" i="4" s="1"/>
  <c r="K8" i="4"/>
  <c r="Q11" i="4" s="1"/>
  <c r="Q24" i="4" s="1"/>
  <c r="K9" i="4"/>
  <c r="Q12" i="4" s="1"/>
  <c r="K10" i="4"/>
  <c r="Q13" i="4" s="1"/>
  <c r="K11" i="4"/>
  <c r="Q14" i="4" s="1"/>
  <c r="K12" i="4"/>
  <c r="Q15" i="4" s="1"/>
  <c r="AE19" i="4" s="1"/>
  <c r="AG19" i="4" s="1"/>
  <c r="K13" i="4"/>
  <c r="Q16" i="4" s="1"/>
  <c r="AE20" i="4" s="1"/>
  <c r="AG20" i="4" s="1"/>
  <c r="K14" i="4"/>
  <c r="W8" i="4" s="1"/>
  <c r="K15" i="4"/>
  <c r="W9" i="4" s="1"/>
  <c r="AF16" i="4" s="1"/>
  <c r="AH16" i="4" s="1"/>
  <c r="K16" i="4"/>
  <c r="W10" i="4" s="1"/>
  <c r="AF17" i="4" s="1"/>
  <c r="AH17" i="4" s="1"/>
  <c r="K17" i="4"/>
  <c r="W11" i="4" s="1"/>
  <c r="K18" i="4"/>
  <c r="W12" i="4" s="1"/>
  <c r="K19" i="4"/>
  <c r="W13" i="4" s="1"/>
  <c r="K20" i="4"/>
  <c r="W14" i="4" s="1"/>
  <c r="K21" i="4"/>
  <c r="W15" i="4" s="1"/>
  <c r="AF19" i="4" s="1"/>
  <c r="AH19" i="4" s="1"/>
  <c r="K22" i="4"/>
  <c r="W16" i="4" s="1"/>
  <c r="AF20" i="4" s="1"/>
  <c r="AH20" i="4" s="1"/>
  <c r="K23" i="4"/>
  <c r="R8" i="4" s="1"/>
  <c r="K24" i="4"/>
  <c r="R9" i="4" s="1"/>
  <c r="AE22" i="4" s="1"/>
  <c r="AG22" i="4" s="1"/>
  <c r="K25" i="4"/>
  <c r="R10" i="4" s="1"/>
  <c r="AE23" i="4" s="1"/>
  <c r="AG23" i="4" s="1"/>
  <c r="K26" i="4"/>
  <c r="R11" i="4" s="1"/>
  <c r="K27" i="4"/>
  <c r="R12" i="4" s="1"/>
  <c r="K28" i="4"/>
  <c r="R13" i="4" s="1"/>
  <c r="K29" i="4"/>
  <c r="R14" i="4" s="1"/>
  <c r="K30" i="4"/>
  <c r="R15" i="4" s="1"/>
  <c r="AE25" i="4" s="1"/>
  <c r="AG25" i="4" s="1"/>
  <c r="K31" i="4"/>
  <c r="R16" i="4" s="1"/>
  <c r="AE26" i="4" s="1"/>
  <c r="AG26" i="4" s="1"/>
  <c r="K32" i="4"/>
  <c r="X8" i="4" s="1"/>
  <c r="K33" i="4"/>
  <c r="X9" i="4" s="1"/>
  <c r="AF22" i="4" s="1"/>
  <c r="AH22" i="4" s="1"/>
  <c r="K34" i="4"/>
  <c r="X10" i="4" s="1"/>
  <c r="AF23" i="4" s="1"/>
  <c r="AH23" i="4" s="1"/>
  <c r="K35" i="4"/>
  <c r="X11" i="4" s="1"/>
  <c r="X24" i="4" s="1"/>
  <c r="K36" i="4"/>
  <c r="X12" i="4" s="1"/>
  <c r="K37" i="4"/>
  <c r="X13" i="4" s="1"/>
  <c r="K38" i="4"/>
  <c r="X14" i="4" s="1"/>
  <c r="K39" i="4"/>
  <c r="X15" i="4" s="1"/>
  <c r="AF25" i="4" s="1"/>
  <c r="AH25" i="4" s="1"/>
  <c r="K40" i="4"/>
  <c r="X16" i="4" s="1"/>
  <c r="AF26" i="4" s="1"/>
  <c r="AH26" i="4" s="1"/>
  <c r="K41" i="4"/>
  <c r="P8" i="4" s="1"/>
  <c r="K42" i="4"/>
  <c r="P9" i="4" s="1"/>
  <c r="AE10" i="4" s="1"/>
  <c r="AG10" i="4" s="1"/>
  <c r="K43" i="4"/>
  <c r="P10" i="4" s="1"/>
  <c r="AE11" i="4" s="1"/>
  <c r="AG11" i="4" s="1"/>
  <c r="K44" i="4"/>
  <c r="P11" i="4" s="1"/>
  <c r="K45" i="4"/>
  <c r="P12" i="4" s="1"/>
  <c r="K46" i="4"/>
  <c r="P13" i="4" s="1"/>
  <c r="K47" i="4"/>
  <c r="K48" i="4"/>
  <c r="P15" i="4" s="1"/>
  <c r="AE13" i="4" s="1"/>
  <c r="AG13" i="4" s="1"/>
  <c r="K49" i="4"/>
  <c r="P16" i="4" s="1"/>
  <c r="AE14" i="4" s="1"/>
  <c r="AG14" i="4" s="1"/>
  <c r="K50" i="4"/>
  <c r="V8" i="4" s="1"/>
  <c r="K51" i="4"/>
  <c r="V9" i="4" s="1"/>
  <c r="AF10" i="4" s="1"/>
  <c r="AH10" i="4" s="1"/>
  <c r="K52" i="4"/>
  <c r="V10" i="4" s="1"/>
  <c r="AF11" i="4" s="1"/>
  <c r="AH11" i="4" s="1"/>
  <c r="K53" i="4"/>
  <c r="V11" i="4" s="1"/>
  <c r="K54" i="4"/>
  <c r="V12" i="4" s="1"/>
  <c r="K55" i="4"/>
  <c r="V13" i="4" s="1"/>
  <c r="K56" i="4"/>
  <c r="V14" i="4" s="1"/>
  <c r="K57" i="4"/>
  <c r="V15" i="4" s="1"/>
  <c r="AF13" i="4" s="1"/>
  <c r="AH13" i="4" s="1"/>
  <c r="K58" i="4"/>
  <c r="V16" i="4" s="1"/>
  <c r="AF14" i="4" s="1"/>
  <c r="AH14" i="4" s="1"/>
  <c r="K59" i="4"/>
  <c r="S8" i="4" s="1"/>
  <c r="K60" i="4"/>
  <c r="S9" i="4" s="1"/>
  <c r="K61" i="4"/>
  <c r="S10" i="4" s="1"/>
  <c r="K62" i="4"/>
  <c r="S11" i="4" s="1"/>
  <c r="K63" i="4"/>
  <c r="S12" i="4" s="1"/>
  <c r="AA11" i="4" s="1"/>
  <c r="K64" i="4"/>
  <c r="S13" i="4" s="1"/>
  <c r="AA12" i="4" s="1"/>
  <c r="K65" i="4"/>
  <c r="S14" i="4" s="1"/>
  <c r="K66" i="4"/>
  <c r="S15" i="4" s="1"/>
  <c r="K67" i="4"/>
  <c r="S16" i="4" s="1"/>
  <c r="K68" i="4"/>
  <c r="P14" i="4" s="1"/>
  <c r="K69" i="4"/>
  <c r="Y8" i="4" s="1"/>
  <c r="K70" i="4"/>
  <c r="Y9" i="4" s="1"/>
  <c r="K71" i="4"/>
  <c r="Y10" i="4" s="1"/>
  <c r="K72" i="4"/>
  <c r="Y11" i="4" s="1"/>
  <c r="K73" i="4"/>
  <c r="Y12" i="4" s="1"/>
  <c r="AC11" i="4" s="1"/>
  <c r="K74" i="4"/>
  <c r="Y13" i="4" s="1"/>
  <c r="K75" i="4"/>
  <c r="Y14" i="4" s="1"/>
  <c r="K76" i="4"/>
  <c r="Y15" i="4" s="1"/>
  <c r="K77" i="4"/>
  <c r="Y16" i="4" s="1"/>
  <c r="K78" i="4"/>
  <c r="O81" i="4" s="1"/>
  <c r="K79" i="4"/>
  <c r="O82" i="4" s="1"/>
  <c r="I5" i="5"/>
  <c r="K5" i="4"/>
  <c r="Q8" i="4" s="1"/>
  <c r="M36" i="5"/>
  <c r="M37" i="5"/>
  <c r="M39" i="5"/>
  <c r="M40" i="5"/>
  <c r="O27" i="5"/>
  <c r="P27" i="5"/>
  <c r="Q27" i="5"/>
  <c r="N27" i="5"/>
  <c r="O9" i="5"/>
  <c r="T15" i="5" s="1"/>
  <c r="V15" i="5" s="1"/>
  <c r="O10" i="5"/>
  <c r="O11" i="5"/>
  <c r="O13" i="5"/>
  <c r="O14" i="5"/>
  <c r="T17" i="5" s="1"/>
  <c r="V17" i="5" s="1"/>
  <c r="O15" i="5"/>
  <c r="T18" i="5" s="1"/>
  <c r="V18" i="5" s="1"/>
  <c r="O17" i="5"/>
  <c r="U14" i="5" s="1"/>
  <c r="W14" i="5" s="1"/>
  <c r="O18" i="5"/>
  <c r="U15" i="5" s="1"/>
  <c r="W15" i="5" s="1"/>
  <c r="O19" i="5"/>
  <c r="O21" i="5"/>
  <c r="O22" i="5"/>
  <c r="O23" i="5"/>
  <c r="U17" i="5" s="1"/>
  <c r="W17" i="5" s="1"/>
  <c r="P7" i="5"/>
  <c r="O7" i="5"/>
  <c r="I6" i="5"/>
  <c r="I7" i="5"/>
  <c r="O8" i="5" s="1"/>
  <c r="T14" i="5" s="1"/>
  <c r="V14" i="5" s="1"/>
  <c r="I8" i="5"/>
  <c r="I9" i="5"/>
  <c r="I10" i="5"/>
  <c r="I11" i="5"/>
  <c r="O12" i="5" s="1"/>
  <c r="I12" i="5"/>
  <c r="I13" i="5"/>
  <c r="I14" i="5"/>
  <c r="I15" i="5"/>
  <c r="O16" i="5" s="1"/>
  <c r="I16" i="5"/>
  <c r="I17" i="5"/>
  <c r="I18" i="5"/>
  <c r="I19" i="5"/>
  <c r="O20" i="5" s="1"/>
  <c r="I20" i="5"/>
  <c r="I21" i="5"/>
  <c r="I22" i="5"/>
  <c r="I23" i="5"/>
  <c r="O24" i="5" s="1"/>
  <c r="U18" i="5" s="1"/>
  <c r="W18" i="5" s="1"/>
  <c r="I24" i="5"/>
  <c r="N7" i="5" s="1"/>
  <c r="I25" i="5"/>
  <c r="N8" i="5" s="1"/>
  <c r="T8" i="5" s="1"/>
  <c r="V8" i="5" s="1"/>
  <c r="I26" i="5"/>
  <c r="N9" i="5" s="1"/>
  <c r="T9" i="5" s="1"/>
  <c r="V9" i="5" s="1"/>
  <c r="I27" i="5"/>
  <c r="N10" i="5" s="1"/>
  <c r="I28" i="5"/>
  <c r="N11" i="5" s="1"/>
  <c r="I29" i="5"/>
  <c r="N12" i="5" s="1"/>
  <c r="I30" i="5"/>
  <c r="N13" i="5" s="1"/>
  <c r="I31" i="5"/>
  <c r="N14" i="5" s="1"/>
  <c r="T11" i="5" s="1"/>
  <c r="V11" i="5" s="1"/>
  <c r="I32" i="5"/>
  <c r="N15" i="5" s="1"/>
  <c r="T12" i="5" s="1"/>
  <c r="V12" i="5" s="1"/>
  <c r="I33" i="5"/>
  <c r="N16" i="5" s="1"/>
  <c r="I34" i="5"/>
  <c r="N17" i="5" s="1"/>
  <c r="U8" i="5" s="1"/>
  <c r="W8" i="5" s="1"/>
  <c r="I35" i="5"/>
  <c r="N18" i="5" s="1"/>
  <c r="U9" i="5" s="1"/>
  <c r="W9" i="5" s="1"/>
  <c r="I36" i="5"/>
  <c r="N19" i="5" s="1"/>
  <c r="I37" i="5"/>
  <c r="N20" i="5" s="1"/>
  <c r="I38" i="5"/>
  <c r="N21" i="5" s="1"/>
  <c r="I39" i="5"/>
  <c r="N22" i="5" s="1"/>
  <c r="I40" i="5"/>
  <c r="N23" i="5" s="1"/>
  <c r="U11" i="5" s="1"/>
  <c r="W11" i="5" s="1"/>
  <c r="I41" i="5"/>
  <c r="N24" i="5" s="1"/>
  <c r="U12" i="5" s="1"/>
  <c r="W12" i="5" s="1"/>
  <c r="I42" i="5"/>
  <c r="I43" i="5"/>
  <c r="P8" i="5" s="1"/>
  <c r="T20" i="5" s="1"/>
  <c r="V20" i="5" s="1"/>
  <c r="I44" i="5"/>
  <c r="P9" i="5" s="1"/>
  <c r="T21" i="5" s="1"/>
  <c r="V21" i="5" s="1"/>
  <c r="I45" i="5"/>
  <c r="P10" i="5" s="1"/>
  <c r="I46" i="5"/>
  <c r="P11" i="5" s="1"/>
  <c r="I47" i="5"/>
  <c r="P12" i="5" s="1"/>
  <c r="I48" i="5"/>
  <c r="P13" i="5" s="1"/>
  <c r="I49" i="5"/>
  <c r="P14" i="5" s="1"/>
  <c r="T23" i="5" s="1"/>
  <c r="V23" i="5" s="1"/>
  <c r="I50" i="5"/>
  <c r="P15" i="5" s="1"/>
  <c r="T24" i="5" s="1"/>
  <c r="V24" i="5" s="1"/>
  <c r="I51" i="5"/>
  <c r="P16" i="5" s="1"/>
  <c r="I52" i="5"/>
  <c r="P17" i="5" s="1"/>
  <c r="U20" i="5" s="1"/>
  <c r="W20" i="5" s="1"/>
  <c r="I53" i="5"/>
  <c r="P18" i="5" s="1"/>
  <c r="U21" i="5" s="1"/>
  <c r="W21" i="5" s="1"/>
  <c r="I54" i="5"/>
  <c r="P19" i="5" s="1"/>
  <c r="I55" i="5"/>
  <c r="P20" i="5" s="1"/>
  <c r="I56" i="5"/>
  <c r="P21" i="5" s="1"/>
  <c r="I57" i="5"/>
  <c r="P22" i="5" s="1"/>
  <c r="I58" i="5"/>
  <c r="P23" i="5" s="1"/>
  <c r="U23" i="5" s="1"/>
  <c r="W23" i="5" s="1"/>
  <c r="I59" i="5"/>
  <c r="P24" i="5" s="1"/>
  <c r="U24" i="5" s="1"/>
  <c r="W24" i="5" s="1"/>
  <c r="I60" i="5"/>
  <c r="Q58" i="5" s="1"/>
  <c r="I61" i="5"/>
  <c r="Q59" i="5" s="1"/>
  <c r="I62" i="5"/>
  <c r="Q60" i="5" s="1"/>
  <c r="I63" i="5"/>
  <c r="Q61" i="5" s="1"/>
  <c r="I64" i="5"/>
  <c r="Q62" i="5" s="1"/>
  <c r="I65" i="5"/>
  <c r="Q63" i="5" s="1"/>
  <c r="I66" i="5"/>
  <c r="P58" i="5" s="1"/>
  <c r="I67" i="5"/>
  <c r="P59" i="5" s="1"/>
  <c r="I68" i="5"/>
  <c r="P60" i="5" s="1"/>
  <c r="I69" i="5"/>
  <c r="Q10" i="5" s="1"/>
  <c r="I70" i="5"/>
  <c r="Q11" i="5" s="1"/>
  <c r="R11" i="5" s="1"/>
  <c r="AA8" i="5" s="1"/>
  <c r="I71" i="5"/>
  <c r="Q12" i="5" s="1"/>
  <c r="R12" i="5" s="1"/>
  <c r="AA9" i="5" s="1"/>
  <c r="I72" i="5"/>
  <c r="Q13" i="5" s="1"/>
  <c r="I73" i="5"/>
  <c r="Q14" i="5" s="1"/>
  <c r="I74" i="5"/>
  <c r="Q15" i="5" s="1"/>
  <c r="I75" i="5"/>
  <c r="P61" i="5" s="1"/>
  <c r="I76" i="5"/>
  <c r="P62" i="5" s="1"/>
  <c r="I77" i="5"/>
  <c r="P63" i="5" s="1"/>
  <c r="I78" i="5"/>
  <c r="Q19" i="5" s="1"/>
  <c r="I79" i="5"/>
  <c r="Q20" i="5" s="1"/>
  <c r="R20" i="5" s="1"/>
  <c r="AA13" i="5" s="1"/>
  <c r="I80" i="5"/>
  <c r="Q21" i="5" s="1"/>
  <c r="R21" i="5" s="1"/>
  <c r="AA14" i="5" s="1"/>
  <c r="I81" i="5"/>
  <c r="Q22" i="5" s="1"/>
  <c r="I82" i="5"/>
  <c r="Q23" i="5" s="1"/>
  <c r="I83" i="5"/>
  <c r="Q24" i="5" s="1"/>
  <c r="T30" i="5" l="1"/>
  <c r="V30" i="5" s="1"/>
  <c r="R15" i="5"/>
  <c r="AB9" i="5" s="1"/>
  <c r="P39" i="5"/>
  <c r="P32" i="5"/>
  <c r="T10" i="5"/>
  <c r="V10" i="5" s="1"/>
  <c r="N37" i="5"/>
  <c r="N30" i="5"/>
  <c r="B17" i="1" s="1"/>
  <c r="B16" i="1"/>
  <c r="U30" i="5"/>
  <c r="W30" i="5" s="1"/>
  <c r="R24" i="5"/>
  <c r="AB14" i="5" s="1"/>
  <c r="U10" i="5"/>
  <c r="W10" i="5" s="1"/>
  <c r="N40" i="5"/>
  <c r="N33" i="5"/>
  <c r="B34" i="1" s="1"/>
  <c r="U13" i="5"/>
  <c r="W13" i="5" s="1"/>
  <c r="O38" i="5"/>
  <c r="O31" i="5"/>
  <c r="U29" i="5"/>
  <c r="W29" i="5" s="1"/>
  <c r="R23" i="5"/>
  <c r="AB13" i="5" s="1"/>
  <c r="Q39" i="5"/>
  <c r="R19" i="5"/>
  <c r="Q32" i="5"/>
  <c r="Q36" i="5"/>
  <c r="R10" i="5"/>
  <c r="Q29" i="5"/>
  <c r="P36" i="5"/>
  <c r="P29" i="5"/>
  <c r="U7" i="5"/>
  <c r="W7" i="5" s="1"/>
  <c r="N38" i="5"/>
  <c r="N31" i="5"/>
  <c r="U19" i="5"/>
  <c r="W19" i="5" s="1"/>
  <c r="P38" i="5"/>
  <c r="P31" i="5"/>
  <c r="N36" i="5"/>
  <c r="N29" i="5"/>
  <c r="U28" i="5"/>
  <c r="W28" i="5" s="1"/>
  <c r="Q40" i="5"/>
  <c r="R22" i="5"/>
  <c r="Q33" i="5"/>
  <c r="T29" i="5"/>
  <c r="V29" i="5" s="1"/>
  <c r="R14" i="5"/>
  <c r="AB8" i="5" s="1"/>
  <c r="U22" i="5"/>
  <c r="W22" i="5" s="1"/>
  <c r="P40" i="5"/>
  <c r="P33" i="5"/>
  <c r="T28" i="5"/>
  <c r="V28" i="5" s="1"/>
  <c r="Q37" i="5"/>
  <c r="R13" i="5"/>
  <c r="Q30" i="5"/>
  <c r="T22" i="5"/>
  <c r="V22" i="5" s="1"/>
  <c r="P37" i="5"/>
  <c r="P30" i="5"/>
  <c r="N39" i="5"/>
  <c r="N32" i="5"/>
  <c r="T7" i="5"/>
  <c r="V7" i="5" s="1"/>
  <c r="N35" i="5"/>
  <c r="N28" i="5"/>
  <c r="P28" i="5"/>
  <c r="B33" i="1"/>
  <c r="T47" i="8"/>
  <c r="R61" i="5"/>
  <c r="O39" i="5"/>
  <c r="T16" i="5"/>
  <c r="V16" i="5" s="1"/>
  <c r="O37" i="5"/>
  <c r="AF30" i="4"/>
  <c r="AH30" i="4" s="1"/>
  <c r="AC25" i="4"/>
  <c r="Y25" i="4"/>
  <c r="AC13" i="4"/>
  <c r="AE32" i="4"/>
  <c r="AG32" i="4" s="1"/>
  <c r="AA27" i="4"/>
  <c r="AA15" i="4"/>
  <c r="AE27" i="4"/>
  <c r="AG27" i="4" s="1"/>
  <c r="AA22" i="4"/>
  <c r="S23" i="4"/>
  <c r="AA7" i="4"/>
  <c r="AE21" i="4"/>
  <c r="AG21" i="4" s="1"/>
  <c r="R23" i="4"/>
  <c r="T44" i="8"/>
  <c r="R58" i="5"/>
  <c r="Q7" i="5"/>
  <c r="O83" i="4"/>
  <c r="O85" i="4" s="1"/>
  <c r="O86" i="4" s="1"/>
  <c r="O87" i="4" s="1"/>
  <c r="J87" i="4"/>
  <c r="J88" i="4" s="1"/>
  <c r="AC12" i="4"/>
  <c r="AF28" i="4"/>
  <c r="AH28" i="4" s="1"/>
  <c r="AC23" i="4"/>
  <c r="AC8" i="4"/>
  <c r="AE31" i="4"/>
  <c r="AG31" i="4" s="1"/>
  <c r="AA26" i="4"/>
  <c r="AA14" i="4"/>
  <c r="S24" i="4"/>
  <c r="AA10" i="4"/>
  <c r="AF9" i="4"/>
  <c r="AH9" i="4" s="1"/>
  <c r="AA20" i="4"/>
  <c r="V23" i="4"/>
  <c r="AF24" i="4"/>
  <c r="AH24" i="4" s="1"/>
  <c r="X25" i="4"/>
  <c r="R24" i="4"/>
  <c r="AF15" i="4"/>
  <c r="AH15" i="4" s="1"/>
  <c r="W23" i="4"/>
  <c r="T19" i="5"/>
  <c r="V19" i="5" s="1"/>
  <c r="P35" i="5"/>
  <c r="U16" i="5"/>
  <c r="W16" i="5" s="1"/>
  <c r="O40" i="5"/>
  <c r="O36" i="5"/>
  <c r="AF29" i="4"/>
  <c r="AH29" i="4" s="1"/>
  <c r="AC24" i="4"/>
  <c r="AC9" i="4"/>
  <c r="AE18" i="4"/>
  <c r="AG18" i="4" s="1"/>
  <c r="Q25" i="4"/>
  <c r="T49" i="8"/>
  <c r="R63" i="5"/>
  <c r="T13" i="5"/>
  <c r="V13" i="5" s="1"/>
  <c r="O35" i="5"/>
  <c r="Q18" i="5"/>
  <c r="Q17" i="5"/>
  <c r="Q16" i="5"/>
  <c r="Q9" i="5"/>
  <c r="Q8" i="5"/>
  <c r="O32" i="5"/>
  <c r="O28" i="5"/>
  <c r="AE15" i="4"/>
  <c r="AG15" i="4" s="1"/>
  <c r="Q23" i="4"/>
  <c r="AF32" i="4"/>
  <c r="AH32" i="4" s="1"/>
  <c r="AC27" i="4"/>
  <c r="AC15" i="4"/>
  <c r="AF27" i="4"/>
  <c r="AH27" i="4" s="1"/>
  <c r="AC22" i="4"/>
  <c r="Y23" i="4"/>
  <c r="AC7" i="4"/>
  <c r="AD7" i="4" s="1"/>
  <c r="AE30" i="4"/>
  <c r="AG30" i="4" s="1"/>
  <c r="AA25" i="4"/>
  <c r="S25" i="4"/>
  <c r="AA13" i="4"/>
  <c r="AE29" i="4"/>
  <c r="AG29" i="4" s="1"/>
  <c r="AA24" i="4"/>
  <c r="AA9" i="4"/>
  <c r="V24" i="4"/>
  <c r="AE9" i="4"/>
  <c r="AG9" i="4" s="1"/>
  <c r="AA19" i="4"/>
  <c r="P23" i="4"/>
  <c r="AE24" i="4"/>
  <c r="AG24" i="4" s="1"/>
  <c r="R25" i="4"/>
  <c r="W24" i="4"/>
  <c r="T45" i="8"/>
  <c r="R59" i="5"/>
  <c r="O30" i="5"/>
  <c r="T48" i="8"/>
  <c r="R62" i="5"/>
  <c r="T46" i="8"/>
  <c r="R60" i="5"/>
  <c r="O33" i="5"/>
  <c r="O29" i="5"/>
  <c r="AF31" i="4"/>
  <c r="AH31" i="4" s="1"/>
  <c r="AC26" i="4"/>
  <c r="AC14" i="4"/>
  <c r="Y24" i="4"/>
  <c r="AC10" i="4"/>
  <c r="AE12" i="4"/>
  <c r="AG12" i="4" s="1"/>
  <c r="AB19" i="4"/>
  <c r="P25" i="4"/>
  <c r="AE28" i="4"/>
  <c r="AG28" i="4" s="1"/>
  <c r="AA23" i="4"/>
  <c r="AA8" i="4"/>
  <c r="AF12" i="4"/>
  <c r="AH12" i="4" s="1"/>
  <c r="AB20" i="4"/>
  <c r="V25" i="4"/>
  <c r="P24" i="4"/>
  <c r="AF21" i="4"/>
  <c r="AH21" i="4" s="1"/>
  <c r="X23" i="4"/>
  <c r="AF18" i="4"/>
  <c r="AH18" i="4" s="1"/>
  <c r="W25" i="4"/>
  <c r="Q19" i="4"/>
  <c r="Y20" i="4"/>
  <c r="Y21" i="4"/>
  <c r="Y19" i="4"/>
  <c r="S21" i="4"/>
  <c r="S19" i="4"/>
  <c r="V20" i="4"/>
  <c r="P19" i="4"/>
  <c r="X20" i="4"/>
  <c r="R21" i="4"/>
  <c r="R19" i="4"/>
  <c r="W20" i="4"/>
  <c r="Q21" i="4"/>
  <c r="P21" i="4"/>
  <c r="B15" i="1" s="1"/>
  <c r="S20" i="4"/>
  <c r="V21" i="4"/>
  <c r="B32" i="1" s="1"/>
  <c r="V19" i="4"/>
  <c r="P20" i="4"/>
  <c r="X21" i="4"/>
  <c r="X19" i="4"/>
  <c r="R20" i="4"/>
  <c r="W21" i="4"/>
  <c r="W19" i="4"/>
  <c r="Q20" i="4"/>
  <c r="O10" i="3"/>
  <c r="I6" i="3"/>
  <c r="J6" i="3"/>
  <c r="I7" i="3"/>
  <c r="J7" i="3"/>
  <c r="K7" i="3"/>
  <c r="O9" i="3" s="1"/>
  <c r="I8" i="3"/>
  <c r="J8" i="3"/>
  <c r="K8" i="3" s="1"/>
  <c r="I9" i="3"/>
  <c r="K9" i="3" s="1"/>
  <c r="O11" i="3" s="1"/>
  <c r="J9" i="3"/>
  <c r="I10" i="3"/>
  <c r="J10" i="3"/>
  <c r="I11" i="3"/>
  <c r="K11" i="3" s="1"/>
  <c r="O13" i="3" s="1"/>
  <c r="J11" i="3"/>
  <c r="I12" i="3"/>
  <c r="J12" i="3"/>
  <c r="K12" i="3" s="1"/>
  <c r="O14" i="3" s="1"/>
  <c r="I13" i="3"/>
  <c r="J13" i="3"/>
  <c r="K13" i="3" s="1"/>
  <c r="O15" i="3" s="1"/>
  <c r="I14" i="3"/>
  <c r="J14" i="3"/>
  <c r="I15" i="3"/>
  <c r="J15" i="3"/>
  <c r="K15" i="3"/>
  <c r="U8" i="3" s="1"/>
  <c r="I16" i="3"/>
  <c r="J16" i="3"/>
  <c r="K16" i="3" s="1"/>
  <c r="U9" i="3" s="1"/>
  <c r="I17" i="3"/>
  <c r="K17" i="3" s="1"/>
  <c r="U10" i="3" s="1"/>
  <c r="J17" i="3"/>
  <c r="I18" i="3"/>
  <c r="J18" i="3"/>
  <c r="I19" i="3"/>
  <c r="K19" i="3" s="1"/>
  <c r="U12" i="3" s="1"/>
  <c r="J19" i="3"/>
  <c r="I20" i="3"/>
  <c r="J20" i="3"/>
  <c r="K20" i="3" s="1"/>
  <c r="U13" i="3" s="1"/>
  <c r="I21" i="3"/>
  <c r="J21" i="3"/>
  <c r="K21" i="3" s="1"/>
  <c r="U14" i="3" s="1"/>
  <c r="I22" i="3"/>
  <c r="J22" i="3"/>
  <c r="I23" i="3"/>
  <c r="J23" i="3"/>
  <c r="K23" i="3"/>
  <c r="P7" i="3" s="1"/>
  <c r="I24" i="3"/>
  <c r="J24" i="3"/>
  <c r="K24" i="3" s="1"/>
  <c r="P8" i="3" s="1"/>
  <c r="I25" i="3"/>
  <c r="K25" i="3" s="1"/>
  <c r="P9" i="3" s="1"/>
  <c r="Q9" i="3" s="1"/>
  <c r="J25" i="3"/>
  <c r="I26" i="3"/>
  <c r="J26" i="3"/>
  <c r="I27" i="3"/>
  <c r="K27" i="3" s="1"/>
  <c r="P11" i="3" s="1"/>
  <c r="Q11" i="3" s="1"/>
  <c r="J27" i="3"/>
  <c r="I28" i="3"/>
  <c r="J28" i="3"/>
  <c r="K28" i="3" s="1"/>
  <c r="P12" i="3" s="1"/>
  <c r="I29" i="3"/>
  <c r="J29" i="3"/>
  <c r="K29" i="3" s="1"/>
  <c r="P13" i="3" s="1"/>
  <c r="I30" i="3"/>
  <c r="J30" i="3"/>
  <c r="I31" i="3"/>
  <c r="J31" i="3"/>
  <c r="K31" i="3"/>
  <c r="P15" i="3" s="1"/>
  <c r="Q15" i="3" s="1"/>
  <c r="I32" i="3"/>
  <c r="J32" i="3"/>
  <c r="K32" i="3" s="1"/>
  <c r="V7" i="3" s="1"/>
  <c r="I33" i="3"/>
  <c r="K33" i="3" s="1"/>
  <c r="V8" i="3" s="1"/>
  <c r="W8" i="3" s="1"/>
  <c r="J33" i="3"/>
  <c r="I34" i="3"/>
  <c r="J34" i="3"/>
  <c r="I35" i="3"/>
  <c r="K35" i="3" s="1"/>
  <c r="V10" i="3" s="1"/>
  <c r="J35" i="3"/>
  <c r="I36" i="3"/>
  <c r="J36" i="3"/>
  <c r="K36" i="3" s="1"/>
  <c r="V11" i="3" s="1"/>
  <c r="I37" i="3"/>
  <c r="J37" i="3"/>
  <c r="K37" i="3" s="1"/>
  <c r="V12" i="3" s="1"/>
  <c r="W12" i="3" s="1"/>
  <c r="I38" i="3"/>
  <c r="J38" i="3"/>
  <c r="I39" i="3"/>
  <c r="J39" i="3"/>
  <c r="K39" i="3"/>
  <c r="V14" i="3" s="1"/>
  <c r="W14" i="3" s="1"/>
  <c r="I40" i="3"/>
  <c r="J40" i="3"/>
  <c r="K40" i="3" s="1"/>
  <c r="V15" i="3" s="1"/>
  <c r="J5" i="3"/>
  <c r="I5" i="3"/>
  <c r="N24" i="3" l="1"/>
  <c r="N20" i="3"/>
  <c r="B10" i="1" s="1"/>
  <c r="W15" i="3"/>
  <c r="U23" i="3"/>
  <c r="W10" i="3"/>
  <c r="U19" i="3"/>
  <c r="Q13" i="3"/>
  <c r="O22" i="3"/>
  <c r="O18" i="3"/>
  <c r="AC28" i="4"/>
  <c r="U26" i="5"/>
  <c r="W26" i="5" s="1"/>
  <c r="R17" i="5"/>
  <c r="Z13" i="5" s="1"/>
  <c r="K38" i="3"/>
  <c r="V13" i="3" s="1"/>
  <c r="K30" i="3"/>
  <c r="P14" i="3" s="1"/>
  <c r="Q14" i="3" s="1"/>
  <c r="K22" i="3"/>
  <c r="U15" i="3" s="1"/>
  <c r="T24" i="3" s="1"/>
  <c r="K14" i="3"/>
  <c r="U7" i="3" s="1"/>
  <c r="W7" i="3" s="1"/>
  <c r="K6" i="3"/>
  <c r="O8" i="3" s="1"/>
  <c r="Q8" i="3" s="1"/>
  <c r="T26" i="5"/>
  <c r="V26" i="5" s="1"/>
  <c r="R8" i="5"/>
  <c r="Z8" i="5" s="1"/>
  <c r="U27" i="5"/>
  <c r="W27" i="5" s="1"/>
  <c r="R18" i="5"/>
  <c r="Z14" i="5" s="1"/>
  <c r="T52" i="8"/>
  <c r="T57" i="8" s="1"/>
  <c r="S52" i="8"/>
  <c r="S57" i="8" s="1"/>
  <c r="R39" i="5"/>
  <c r="AB19" i="3" s="1"/>
  <c r="AA12" i="5"/>
  <c r="R32" i="5"/>
  <c r="AB11" i="3" s="1"/>
  <c r="T27" i="5"/>
  <c r="V27" i="5" s="1"/>
  <c r="R9" i="5"/>
  <c r="Z9" i="5" s="1"/>
  <c r="AA28" i="4"/>
  <c r="R36" i="5"/>
  <c r="AB16" i="3" s="1"/>
  <c r="AA7" i="5"/>
  <c r="R29" i="5"/>
  <c r="AB8" i="3" s="1"/>
  <c r="K34" i="3"/>
  <c r="V9" i="3" s="1"/>
  <c r="W9" i="3" s="1"/>
  <c r="K26" i="3"/>
  <c r="P10" i="3" s="1"/>
  <c r="K18" i="3"/>
  <c r="U11" i="3" s="1"/>
  <c r="W11" i="3" s="1"/>
  <c r="K10" i="3"/>
  <c r="O12" i="3" s="1"/>
  <c r="Q12" i="3" s="1"/>
  <c r="U25" i="5"/>
  <c r="W25" i="5" s="1"/>
  <c r="Q38" i="5"/>
  <c r="R16" i="5"/>
  <c r="Q31" i="5"/>
  <c r="T25" i="5"/>
  <c r="V25" i="5" s="1"/>
  <c r="Q35" i="5"/>
  <c r="R7" i="5"/>
  <c r="Q28" i="5"/>
  <c r="T53" i="8"/>
  <c r="T58" i="8" s="1"/>
  <c r="S53" i="8"/>
  <c r="S58" i="8" s="1"/>
  <c r="R37" i="5"/>
  <c r="AB17" i="3" s="1"/>
  <c r="AB7" i="5"/>
  <c r="R30" i="5"/>
  <c r="AB9" i="3" s="1"/>
  <c r="AB7" i="4"/>
  <c r="R40" i="5"/>
  <c r="AB20" i="3" s="1"/>
  <c r="AB12" i="5"/>
  <c r="R33" i="5"/>
  <c r="AB12" i="3" s="1"/>
  <c r="K5" i="3"/>
  <c r="O7" i="3" s="1"/>
  <c r="L39" i="2"/>
  <c r="P36" i="2"/>
  <c r="N36" i="2"/>
  <c r="M36" i="2"/>
  <c r="L34" i="2"/>
  <c r="L33" i="2"/>
  <c r="L38" i="2" s="1"/>
  <c r="L32" i="2"/>
  <c r="L37" i="2" s="1"/>
  <c r="O31" i="2"/>
  <c r="O36" i="2" s="1"/>
  <c r="N21" i="2"/>
  <c r="P21" i="2"/>
  <c r="M21" i="2"/>
  <c r="L22" i="2"/>
  <c r="L19" i="2"/>
  <c r="L24" i="2" s="1"/>
  <c r="L18" i="2"/>
  <c r="L23" i="2" s="1"/>
  <c r="L17" i="2"/>
  <c r="O16" i="2"/>
  <c r="O21" i="2" s="1"/>
  <c r="D40" i="1"/>
  <c r="F4" i="2"/>
  <c r="F5" i="2"/>
  <c r="F6" i="2"/>
  <c r="F7" i="2"/>
  <c r="F3" i="2"/>
  <c r="F16" i="2"/>
  <c r="G16" i="2"/>
  <c r="H16" i="2"/>
  <c r="F17" i="2"/>
  <c r="H17" i="2"/>
  <c r="F18" i="2"/>
  <c r="F50" i="2" s="1"/>
  <c r="G18" i="2"/>
  <c r="F51" i="2" s="1"/>
  <c r="H18" i="2"/>
  <c r="F52" i="2" s="1"/>
  <c r="F19" i="2"/>
  <c r="G19" i="2"/>
  <c r="H19" i="2"/>
  <c r="F20" i="2"/>
  <c r="F53" i="2" s="1"/>
  <c r="G20" i="2"/>
  <c r="F54" i="2" s="1"/>
  <c r="H20" i="2"/>
  <c r="F55" i="2" s="1"/>
  <c r="F21" i="2"/>
  <c r="F56" i="2" s="1"/>
  <c r="G21" i="2"/>
  <c r="F57" i="2" s="1"/>
  <c r="H21" i="2"/>
  <c r="F58" i="2" s="1"/>
  <c r="F22" i="2"/>
  <c r="G22" i="2"/>
  <c r="H22" i="2"/>
  <c r="F23" i="2"/>
  <c r="F59" i="2" s="1"/>
  <c r="G23" i="2"/>
  <c r="F60" i="2" s="1"/>
  <c r="H23" i="2"/>
  <c r="F61" i="2" s="1"/>
  <c r="F24" i="2"/>
  <c r="F62" i="2" s="1"/>
  <c r="G24" i="2"/>
  <c r="F63" i="2" s="1"/>
  <c r="H24" i="2"/>
  <c r="F64" i="2" s="1"/>
  <c r="F25" i="2"/>
  <c r="G25" i="2"/>
  <c r="H25" i="2"/>
  <c r="F26" i="2"/>
  <c r="F65" i="2" s="1"/>
  <c r="G26" i="2"/>
  <c r="H26" i="2"/>
  <c r="F67" i="2" s="1"/>
  <c r="F30" i="2"/>
  <c r="G30" i="2"/>
  <c r="H30" i="2"/>
  <c r="F31" i="2"/>
  <c r="G31" i="2"/>
  <c r="H31" i="2"/>
  <c r="F32" i="2"/>
  <c r="G32" i="2"/>
  <c r="H32" i="2"/>
  <c r="F33" i="2"/>
  <c r="G50" i="2" s="1"/>
  <c r="G33" i="2"/>
  <c r="G51" i="2" s="1"/>
  <c r="H33" i="2"/>
  <c r="G52" i="2" s="1"/>
  <c r="F34" i="2"/>
  <c r="G34" i="2"/>
  <c r="H34" i="2"/>
  <c r="F35" i="2"/>
  <c r="G53" i="2" s="1"/>
  <c r="G35" i="2"/>
  <c r="G54" i="2" s="1"/>
  <c r="H35" i="2"/>
  <c r="G55" i="2" s="1"/>
  <c r="F36" i="2"/>
  <c r="G56" i="2" s="1"/>
  <c r="G36" i="2"/>
  <c r="G57" i="2" s="1"/>
  <c r="H36" i="2"/>
  <c r="G58" i="2" s="1"/>
  <c r="F37" i="2"/>
  <c r="G37" i="2"/>
  <c r="H37" i="2"/>
  <c r="F38" i="2"/>
  <c r="G59" i="2" s="1"/>
  <c r="G38" i="2"/>
  <c r="G60" i="2" s="1"/>
  <c r="H38" i="2"/>
  <c r="G61" i="2" s="1"/>
  <c r="F39" i="2"/>
  <c r="G62" i="2" s="1"/>
  <c r="G39" i="2"/>
  <c r="G63" i="2" s="1"/>
  <c r="H39" i="2"/>
  <c r="G64" i="2" s="1"/>
  <c r="F40" i="2"/>
  <c r="G40" i="2"/>
  <c r="H40" i="2"/>
  <c r="F41" i="2"/>
  <c r="G65" i="2" s="1"/>
  <c r="G41" i="2"/>
  <c r="G66" i="2" s="1"/>
  <c r="H41" i="2"/>
  <c r="G67" i="2" s="1"/>
  <c r="G15" i="2"/>
  <c r="H15" i="2"/>
  <c r="F15" i="2"/>
  <c r="W18" i="3" l="1"/>
  <c r="AA10" i="3" s="1"/>
  <c r="W22" i="3"/>
  <c r="AA18" i="3" s="1"/>
  <c r="K48" i="2"/>
  <c r="F47" i="2"/>
  <c r="R35" i="5"/>
  <c r="AB15" i="3" s="1"/>
  <c r="Z7" i="5"/>
  <c r="R28" i="5"/>
  <c r="AB7" i="3" s="1"/>
  <c r="R38" i="5"/>
  <c r="AB18" i="3" s="1"/>
  <c r="Z12" i="5"/>
  <c r="R31" i="5"/>
  <c r="AB10" i="3" s="1"/>
  <c r="O20" i="3"/>
  <c r="W23" i="3"/>
  <c r="AA19" i="3" s="1"/>
  <c r="W19" i="3"/>
  <c r="AA11" i="3" s="1"/>
  <c r="T20" i="3"/>
  <c r="B27" i="1" s="1"/>
  <c r="P4" i="3"/>
  <c r="U18" i="3"/>
  <c r="L46" i="2"/>
  <c r="G48" i="2"/>
  <c r="K46" i="2"/>
  <c r="G47" i="2"/>
  <c r="M45" i="2"/>
  <c r="G46" i="2"/>
  <c r="F66" i="2"/>
  <c r="L48" i="2"/>
  <c r="N22" i="3"/>
  <c r="O3" i="3"/>
  <c r="P18" i="3"/>
  <c r="N18" i="3"/>
  <c r="U24" i="3"/>
  <c r="U20" i="3"/>
  <c r="W13" i="3"/>
  <c r="Q7" i="3"/>
  <c r="Q20" i="3"/>
  <c r="AA9" i="3" s="1"/>
  <c r="Q24" i="3"/>
  <c r="AA17" i="3" s="1"/>
  <c r="P20" i="3"/>
  <c r="P5" i="3"/>
  <c r="T23" i="3"/>
  <c r="K47" i="2"/>
  <c r="F44" i="2"/>
  <c r="M47" i="2"/>
  <c r="F46" i="2"/>
  <c r="L45" i="2"/>
  <c r="G45" i="2"/>
  <c r="O23" i="3"/>
  <c r="Q10" i="3"/>
  <c r="O19" i="3"/>
  <c r="O4" i="3"/>
  <c r="T22" i="3"/>
  <c r="P3" i="3"/>
  <c r="T18" i="3"/>
  <c r="O24" i="3"/>
  <c r="O5" i="3"/>
  <c r="U22" i="3"/>
  <c r="L47" i="2"/>
  <c r="F45" i="2"/>
  <c r="M46" i="2"/>
  <c r="G49" i="2"/>
  <c r="K45" i="2"/>
  <c r="G44" i="2"/>
  <c r="M48" i="2"/>
  <c r="F49" i="2"/>
  <c r="P19" i="3"/>
  <c r="N23" i="3"/>
  <c r="N19" i="3"/>
  <c r="T19" i="3"/>
  <c r="J41" i="2"/>
  <c r="P39" i="2" s="1"/>
  <c r="J39" i="2"/>
  <c r="P37" i="2" s="1"/>
  <c r="J37" i="2"/>
  <c r="O38" i="2" s="1"/>
  <c r="J35" i="2"/>
  <c r="N39" i="2" s="1"/>
  <c r="J33" i="2"/>
  <c r="N37" i="2" s="1"/>
  <c r="J31" i="2"/>
  <c r="M38" i="2" s="1"/>
  <c r="J26" i="2"/>
  <c r="P24" i="2" s="1"/>
  <c r="J24" i="2"/>
  <c r="P22" i="2" s="1"/>
  <c r="J22" i="2"/>
  <c r="O23" i="2" s="1"/>
  <c r="J20" i="2"/>
  <c r="N24" i="2" s="1"/>
  <c r="J18" i="2"/>
  <c r="N22" i="2" s="1"/>
  <c r="J16" i="2"/>
  <c r="M23" i="2" s="1"/>
  <c r="I15" i="2"/>
  <c r="M17" i="2" s="1"/>
  <c r="J40" i="2"/>
  <c r="P38" i="2" s="1"/>
  <c r="J38" i="2"/>
  <c r="O39" i="2" s="1"/>
  <c r="J36" i="2"/>
  <c r="O37" i="2" s="1"/>
  <c r="J34" i="2"/>
  <c r="N38" i="2" s="1"/>
  <c r="J32" i="2"/>
  <c r="M39" i="2" s="1"/>
  <c r="I30" i="2"/>
  <c r="M32" i="2" s="1"/>
  <c r="J25" i="2"/>
  <c r="P23" i="2" s="1"/>
  <c r="J23" i="2"/>
  <c r="O24" i="2" s="1"/>
  <c r="J21" i="2"/>
  <c r="O22" i="2" s="1"/>
  <c r="J19" i="2"/>
  <c r="N23" i="2" s="1"/>
  <c r="J17" i="2"/>
  <c r="M24" i="2" s="1"/>
  <c r="J15" i="2"/>
  <c r="M22" i="2" s="1"/>
  <c r="I26" i="2"/>
  <c r="P19" i="2" s="1"/>
  <c r="I25" i="2"/>
  <c r="P18" i="2" s="1"/>
  <c r="I24" i="2"/>
  <c r="P17" i="2" s="1"/>
  <c r="I23" i="2"/>
  <c r="O19" i="2" s="1"/>
  <c r="I22" i="2"/>
  <c r="O18" i="2" s="1"/>
  <c r="I21" i="2"/>
  <c r="O17" i="2" s="1"/>
  <c r="I20" i="2"/>
  <c r="N19" i="2" s="1"/>
  <c r="I19" i="2"/>
  <c r="N18" i="2" s="1"/>
  <c r="I18" i="2"/>
  <c r="N17" i="2" s="1"/>
  <c r="I17" i="2"/>
  <c r="M19" i="2" s="1"/>
  <c r="I16" i="2"/>
  <c r="M18" i="2" s="1"/>
  <c r="J30" i="2"/>
  <c r="M37" i="2" s="1"/>
  <c r="I41" i="2"/>
  <c r="P34" i="2" s="1"/>
  <c r="I40" i="2"/>
  <c r="P33" i="2" s="1"/>
  <c r="I39" i="2"/>
  <c r="P32" i="2" s="1"/>
  <c r="I38" i="2"/>
  <c r="O34" i="2" s="1"/>
  <c r="I37" i="2"/>
  <c r="O33" i="2" s="1"/>
  <c r="I36" i="2"/>
  <c r="O32" i="2" s="1"/>
  <c r="I35" i="2"/>
  <c r="N34" i="2" s="1"/>
  <c r="I34" i="2"/>
  <c r="N33" i="2" s="1"/>
  <c r="I33" i="2"/>
  <c r="N32" i="2" s="1"/>
  <c r="I32" i="2"/>
  <c r="M34" i="2" s="1"/>
  <c r="I31" i="2"/>
  <c r="M33" i="2" s="1"/>
  <c r="Q22" i="3" l="1"/>
  <c r="AA15" i="3" s="1"/>
  <c r="Q18" i="3"/>
  <c r="AA7" i="3" s="1"/>
  <c r="W20" i="3"/>
  <c r="AA12" i="3" s="1"/>
  <c r="W24" i="3"/>
  <c r="AA20" i="3" s="1"/>
  <c r="N46" i="2"/>
  <c r="O46" i="2"/>
  <c r="N48" i="2"/>
  <c r="O48" i="2"/>
  <c r="K50" i="2"/>
  <c r="O45" i="2"/>
  <c r="N45" i="2"/>
  <c r="K51" i="2"/>
  <c r="N47" i="2"/>
  <c r="O47" i="2"/>
  <c r="Q23" i="3"/>
  <c r="AA16" i="3" s="1"/>
  <c r="Q19" i="3"/>
  <c r="AA8" i="3" s="1"/>
</calcChain>
</file>

<file path=xl/sharedStrings.xml><?xml version="1.0" encoding="utf-8"?>
<sst xmlns="http://schemas.openxmlformats.org/spreadsheetml/2006/main" count="1885" uniqueCount="632">
  <si>
    <t>Chlorophyll a Data</t>
  </si>
  <si>
    <t>Experiment</t>
  </si>
  <si>
    <t>Treatment</t>
  </si>
  <si>
    <t>Replicate</t>
  </si>
  <si>
    <t>Time</t>
  </si>
  <si>
    <t>Vol filt</t>
  </si>
  <si>
    <t>Vol acetone</t>
  </si>
  <si>
    <t>Fo</t>
  </si>
  <si>
    <t>Fa</t>
  </si>
  <si>
    <t>Chla ug/l</t>
  </si>
  <si>
    <t>SB</t>
  </si>
  <si>
    <t>SW+L</t>
  </si>
  <si>
    <t>A</t>
  </si>
  <si>
    <t>t0</t>
  </si>
  <si>
    <t>SW+N</t>
  </si>
  <si>
    <t>SW</t>
  </si>
  <si>
    <t>JP</t>
  </si>
  <si>
    <t>B</t>
  </si>
  <si>
    <t>C</t>
  </si>
  <si>
    <t>t1</t>
  </si>
  <si>
    <t>t2</t>
  </si>
  <si>
    <t>t3</t>
  </si>
  <si>
    <t>Ammonium Data</t>
  </si>
  <si>
    <t>Average</t>
  </si>
  <si>
    <t>StDev</t>
  </si>
  <si>
    <t>slope</t>
  </si>
  <si>
    <t>intercept</t>
  </si>
  <si>
    <t>Information on Stations</t>
  </si>
  <si>
    <t>Location</t>
  </si>
  <si>
    <t>Centennial Beach, Tsawwassen, Semiahoo Bay</t>
  </si>
  <si>
    <t>Date</t>
  </si>
  <si>
    <t>Temperature</t>
  </si>
  <si>
    <t>Salinity</t>
  </si>
  <si>
    <t>NO3+NO2</t>
  </si>
  <si>
    <t>PO4</t>
  </si>
  <si>
    <t>SiO3</t>
  </si>
  <si>
    <t>Bacteria</t>
  </si>
  <si>
    <t>Virus</t>
  </si>
  <si>
    <t>PP</t>
  </si>
  <si>
    <t>PP Species</t>
  </si>
  <si>
    <t>Jericho Pier, Vancouver, English Bay</t>
  </si>
  <si>
    <t>Weather</t>
  </si>
  <si>
    <t>Overcast, very dry conditions in the weeks/months prior except for a very light sprinkling that day</t>
  </si>
  <si>
    <t>Overcast, very dry conditions in the weeks/months prior except for a very light sprinkling overnight</t>
  </si>
  <si>
    <t>Times</t>
  </si>
  <si>
    <t>1:30pm</t>
  </si>
  <si>
    <t>8:00pm</t>
  </si>
  <si>
    <t>9:00am</t>
  </si>
  <si>
    <t>3:00pm</t>
  </si>
  <si>
    <t>SB Ave</t>
  </si>
  <si>
    <t>SB StDev</t>
  </si>
  <si>
    <t>7:30pm</t>
  </si>
  <si>
    <t>Ammonium</t>
  </si>
  <si>
    <t>10:00am</t>
  </si>
  <si>
    <t>uM</t>
  </si>
  <si>
    <t>psu</t>
  </si>
  <si>
    <t>Filter blank</t>
  </si>
  <si>
    <t>Acetone blank</t>
  </si>
  <si>
    <t>(I forgot to blank the machine, so subtract the acteon blank from all values)</t>
  </si>
  <si>
    <t>Fo corrected</t>
  </si>
  <si>
    <t>Fa corrected</t>
  </si>
  <si>
    <t>JP Ave</t>
  </si>
  <si>
    <t>JP StDev</t>
  </si>
  <si>
    <t>Phytoplankton Species</t>
  </si>
  <si>
    <t>Semiahoo Bay</t>
  </si>
  <si>
    <t>Not a whole lot going on. The only things I see much of are the unidentifiable things (dark, feathery hairs around the perimeter or spread out like tentacles in one direction).</t>
  </si>
  <si>
    <t>Jericho Pier</t>
  </si>
  <si>
    <t>Predominately a mixed diatom assemblage.</t>
  </si>
  <si>
    <t>No significant differences  between Jericho Pier time points for any treatments.</t>
  </si>
  <si>
    <t>t test</t>
  </si>
  <si>
    <t>Increase</t>
  </si>
  <si>
    <t>Notes: Increased phytoplankton signal in SW+L (p&lt;0.15) and SW+N (p&lt;0.001) over SW in Semiahoo Bay.</t>
  </si>
  <si>
    <t>Notes: Uptake of ammonium in both experiments (good, so they can use ammonium from</t>
  </si>
  <si>
    <t>regeneration). No ammonium production, likely because N is in high demand and turnover</t>
  </si>
  <si>
    <t>is high. Very low concentration of ammonium in lysate (not sure why it's different between</t>
  </si>
  <si>
    <t>experiments).</t>
  </si>
  <si>
    <t>Sample ID</t>
  </si>
  <si>
    <t>Dilution factor</t>
  </si>
  <si>
    <t>Acquisition time (min)</t>
  </si>
  <si>
    <t>Sample volume (µl)</t>
  </si>
  <si>
    <t>Flow mode</t>
  </si>
  <si>
    <r>
      <t>Flow rate (µl min</t>
    </r>
    <r>
      <rPr>
        <b/>
        <vertAlign val="superscript"/>
        <sz val="10"/>
        <color indexed="0"/>
        <rFont val="Helvetica Neue"/>
      </rPr>
      <t>-1</t>
    </r>
    <r>
      <rPr>
        <b/>
        <sz val="10"/>
        <color indexed="0"/>
        <rFont val="Helvetica Neue"/>
      </rPr>
      <t>)</t>
    </r>
  </si>
  <si>
    <t>HNA (events)</t>
  </si>
  <si>
    <t>HNA (105 ml-1)</t>
  </si>
  <si>
    <t>High</t>
  </si>
  <si>
    <t>pp.001</t>
  </si>
  <si>
    <t>pp.002</t>
  </si>
  <si>
    <t>SYBR Green (µl)</t>
  </si>
  <si>
    <t>Total volume (µl)</t>
  </si>
  <si>
    <t>Med</t>
  </si>
  <si>
    <t>bac.017</t>
  </si>
  <si>
    <t>bac.018</t>
  </si>
  <si>
    <t>CHNF SB 1a t1</t>
  </si>
  <si>
    <t>pp.003</t>
  </si>
  <si>
    <t>CHNF SB 1b t1</t>
  </si>
  <si>
    <t>pp.004</t>
  </si>
  <si>
    <t>CHNF SB 1c t1</t>
  </si>
  <si>
    <t>pp.005</t>
  </si>
  <si>
    <t>CHNF SB 2a t1</t>
  </si>
  <si>
    <t>pp.006</t>
  </si>
  <si>
    <t>CHNF SB 2b t1</t>
  </si>
  <si>
    <t>pp.007</t>
  </si>
  <si>
    <t>CHNF SB 2c t1</t>
  </si>
  <si>
    <t>pp.008</t>
  </si>
  <si>
    <t>CHNF SB 3a t1</t>
  </si>
  <si>
    <t>pp.009</t>
  </si>
  <si>
    <t>CHNF SB 3b t1</t>
  </si>
  <si>
    <t>pp.010</t>
  </si>
  <si>
    <t>CHNF SB 3c t1</t>
  </si>
  <si>
    <t>pp.011</t>
  </si>
  <si>
    <t>CHNF JP 4a t1</t>
  </si>
  <si>
    <t>pp.012</t>
  </si>
  <si>
    <t>CHNF JP 4b t1</t>
  </si>
  <si>
    <t>pp.013</t>
  </si>
  <si>
    <t>CHNF JP 4c t1</t>
  </si>
  <si>
    <t>pp.014</t>
  </si>
  <si>
    <t>CHNF JP 5a t1</t>
  </si>
  <si>
    <t>pp.015</t>
  </si>
  <si>
    <t>CHNF JP 5c t1_1</t>
  </si>
  <si>
    <t>pp.016</t>
  </si>
  <si>
    <t>CHNF JP 5c t1_2</t>
  </si>
  <si>
    <t>pp.017</t>
  </si>
  <si>
    <t>CHNF JP 6a t1</t>
  </si>
  <si>
    <t>pp.018</t>
  </si>
  <si>
    <t>CHNF JP 6b t1</t>
  </si>
  <si>
    <t>pp.019</t>
  </si>
  <si>
    <t>CHNF JP 6c t1</t>
  </si>
  <si>
    <t>pp.020</t>
  </si>
  <si>
    <t>CHNF SB 1a t0</t>
  </si>
  <si>
    <t>pp.021</t>
  </si>
  <si>
    <t>CHNF SB 1b t0</t>
  </si>
  <si>
    <t>pp.022</t>
  </si>
  <si>
    <t>CHNF SB 1c t0</t>
  </si>
  <si>
    <t>pp.023</t>
  </si>
  <si>
    <t>CHNF SB 2a t0</t>
  </si>
  <si>
    <t>pp.024</t>
  </si>
  <si>
    <t>CHNF SB 2b t0</t>
  </si>
  <si>
    <t>pp.025</t>
  </si>
  <si>
    <t>CHNF SB 2c t0</t>
  </si>
  <si>
    <t>pp.026</t>
  </si>
  <si>
    <t>CHNF SB 3a t0</t>
  </si>
  <si>
    <t>pp.027</t>
  </si>
  <si>
    <t>CHNF SB 3b t0</t>
  </si>
  <si>
    <t>pp.028</t>
  </si>
  <si>
    <t>CHNF SB 3c t0</t>
  </si>
  <si>
    <t>pp.029</t>
  </si>
  <si>
    <t>CHNF JP 4a t0</t>
  </si>
  <si>
    <t>pp.030</t>
  </si>
  <si>
    <t>CHNF JP 4b t0</t>
  </si>
  <si>
    <t>pp.031</t>
  </si>
  <si>
    <t>CHNF JP 4c t0</t>
  </si>
  <si>
    <t>pp.032</t>
  </si>
  <si>
    <t>CHNF JP 5a t0</t>
  </si>
  <si>
    <t>pp.033</t>
  </si>
  <si>
    <t>CHNF JP 5b t0</t>
  </si>
  <si>
    <t>pp.034</t>
  </si>
  <si>
    <t>CHNF JP 5c t0</t>
  </si>
  <si>
    <t>pp.035</t>
  </si>
  <si>
    <t>CHNF JP 6a t0</t>
  </si>
  <si>
    <t>pp.036</t>
  </si>
  <si>
    <t>CHNF JP 6b t0</t>
  </si>
  <si>
    <t>pp.037</t>
  </si>
  <si>
    <t>CHNF JP 6c t0</t>
  </si>
  <si>
    <t>pp.038</t>
  </si>
  <si>
    <t>CHNF SB 1a t2</t>
  </si>
  <si>
    <t>pp.039</t>
  </si>
  <si>
    <t>CHNF SB 1b t2</t>
  </si>
  <si>
    <t>pp.040</t>
  </si>
  <si>
    <t>CHNF SB 1c t2</t>
  </si>
  <si>
    <t>pp.041</t>
  </si>
  <si>
    <t>CHNF SB 2a t2</t>
  </si>
  <si>
    <t>pp.042</t>
  </si>
  <si>
    <t>CHNF SB 2b t2</t>
  </si>
  <si>
    <t>pp.043</t>
  </si>
  <si>
    <t>CHNF SB 2c t2</t>
  </si>
  <si>
    <t>pp.044</t>
  </si>
  <si>
    <t>CHNF SB 3a t2</t>
  </si>
  <si>
    <t>pp.045</t>
  </si>
  <si>
    <t>CHNF SB 3b t2</t>
  </si>
  <si>
    <t>pp.046</t>
  </si>
  <si>
    <t>CHNF SB 3c t2</t>
  </si>
  <si>
    <t>pp.047</t>
  </si>
  <si>
    <t>CHNF JP 4a t2</t>
  </si>
  <si>
    <t>pp.048</t>
  </si>
  <si>
    <t>CHNF JP 4b t2</t>
  </si>
  <si>
    <t>pp.049</t>
  </si>
  <si>
    <t>CHNF JP 4c t2</t>
  </si>
  <si>
    <t>pp.050</t>
  </si>
  <si>
    <t>CHNF JP 5a t2</t>
  </si>
  <si>
    <t>pp.051</t>
  </si>
  <si>
    <t>CHNF JP 5b t2</t>
  </si>
  <si>
    <t>pp.052</t>
  </si>
  <si>
    <t>CHNF JP 5c t2</t>
  </si>
  <si>
    <t>pp.053</t>
  </si>
  <si>
    <t>CHNF JP 6a t2</t>
  </si>
  <si>
    <t>pp.054</t>
  </si>
  <si>
    <t>CHNF JP 6b t2</t>
  </si>
  <si>
    <t>pp.055</t>
  </si>
  <si>
    <t>CHNF JP 6c t2</t>
  </si>
  <si>
    <t>pp.056</t>
  </si>
  <si>
    <t>CHNF SB SW+L A post-filt.</t>
  </si>
  <si>
    <t>pp.057</t>
  </si>
  <si>
    <t>CHNF SB SW+L B post-filt.</t>
  </si>
  <si>
    <t>pp.058</t>
  </si>
  <si>
    <t>CHNF SB SW+L C post-filt.</t>
  </si>
  <si>
    <t>pp.059</t>
  </si>
  <si>
    <t>CHNF JP SW+L A post-filt.</t>
  </si>
  <si>
    <t>pp.060</t>
  </si>
  <si>
    <t>CHNF JP SW+L B post-filt.</t>
  </si>
  <si>
    <t>pp.061</t>
  </si>
  <si>
    <t>CHNF JP SW+L C post-filt.</t>
  </si>
  <si>
    <t>pp.062</t>
  </si>
  <si>
    <t>CHNF SB 1a t3</t>
  </si>
  <si>
    <t>pp.063</t>
  </si>
  <si>
    <t>CHNF SB 1b t3</t>
  </si>
  <si>
    <t>pp.064</t>
  </si>
  <si>
    <t>CHNF SB 1c t3</t>
  </si>
  <si>
    <t>pp.065</t>
  </si>
  <si>
    <t>CHNF SB 2a t3</t>
  </si>
  <si>
    <t>pp.066</t>
  </si>
  <si>
    <t>CHNF SB 2b t3</t>
  </si>
  <si>
    <t>pp.067</t>
  </si>
  <si>
    <t>CHNF SB 2c t3</t>
  </si>
  <si>
    <t>pp.068</t>
  </si>
  <si>
    <t>CHNF SB 3a t3</t>
  </si>
  <si>
    <t>pp.069</t>
  </si>
  <si>
    <t>CHNF SB 3b t3</t>
  </si>
  <si>
    <t>pp.070</t>
  </si>
  <si>
    <t>CHNF SB 3c t3</t>
  </si>
  <si>
    <t>pp.071</t>
  </si>
  <si>
    <t>CHNF JP 4a t3</t>
  </si>
  <si>
    <t>pp.072</t>
  </si>
  <si>
    <t>CHNF JP 4b t3</t>
  </si>
  <si>
    <t>pp.073</t>
  </si>
  <si>
    <t>CHNF JP 4c t3</t>
  </si>
  <si>
    <t>pp.074</t>
  </si>
  <si>
    <t>CHNF JP 5a t3</t>
  </si>
  <si>
    <t>pp.075</t>
  </si>
  <si>
    <t>CHNF JP 5b t3</t>
  </si>
  <si>
    <t>pp.076</t>
  </si>
  <si>
    <t>CHNF JP 5c t3</t>
  </si>
  <si>
    <t>pp.077</t>
  </si>
  <si>
    <t>CHNF JP 6a t3</t>
  </si>
  <si>
    <t>pp.078</t>
  </si>
  <si>
    <t>CHNF JP 6b t3</t>
  </si>
  <si>
    <t>pp.079</t>
  </si>
  <si>
    <t>CHNF JP 6c t3</t>
  </si>
  <si>
    <t>HNA (104 ml-1)</t>
  </si>
  <si>
    <t>1a</t>
  </si>
  <si>
    <t>1b</t>
  </si>
  <si>
    <t>1c</t>
  </si>
  <si>
    <t>2a</t>
  </si>
  <si>
    <t>2b</t>
  </si>
  <si>
    <t>2c</t>
  </si>
  <si>
    <t>3a</t>
  </si>
  <si>
    <t>3b</t>
  </si>
  <si>
    <t>3c</t>
  </si>
  <si>
    <t>4a</t>
  </si>
  <si>
    <t>4b</t>
  </si>
  <si>
    <t>4c</t>
  </si>
  <si>
    <t>5a</t>
  </si>
  <si>
    <t>5b</t>
  </si>
  <si>
    <t>5c</t>
  </si>
  <si>
    <t>6a</t>
  </si>
  <si>
    <t>6b</t>
  </si>
  <si>
    <t>6c</t>
  </si>
  <si>
    <t>SW+Lys</t>
  </si>
  <si>
    <t>bac.012</t>
  </si>
  <si>
    <t>bac.013</t>
  </si>
  <si>
    <t>bac.014</t>
  </si>
  <si>
    <t>bac.015</t>
  </si>
  <si>
    <t>bac.016</t>
  </si>
  <si>
    <t>bac.019</t>
  </si>
  <si>
    <t>bac.020</t>
  </si>
  <si>
    <t>bac.032</t>
  </si>
  <si>
    <t>CHNF JP 1a t1</t>
  </si>
  <si>
    <t>bac.033</t>
  </si>
  <si>
    <t>CHNF JP 1b t1</t>
  </si>
  <si>
    <t>bac.034</t>
  </si>
  <si>
    <t>bac.035</t>
  </si>
  <si>
    <t>bac.036</t>
  </si>
  <si>
    <t>CHNF JP 5b t1</t>
  </si>
  <si>
    <t>bac.037</t>
  </si>
  <si>
    <t>CHNF JP 5c t1</t>
  </si>
  <si>
    <t>bac.038</t>
  </si>
  <si>
    <t>bac.039</t>
  </si>
  <si>
    <t>bac.040</t>
  </si>
  <si>
    <t>bac.052</t>
  </si>
  <si>
    <t>bac.053</t>
  </si>
  <si>
    <t>bac.054</t>
  </si>
  <si>
    <t>bac.055</t>
  </si>
  <si>
    <t>bac.056</t>
  </si>
  <si>
    <t>bac.057</t>
  </si>
  <si>
    <t>bac.058</t>
  </si>
  <si>
    <t>bac.059</t>
  </si>
  <si>
    <t>bac.060</t>
  </si>
  <si>
    <t>bac.072</t>
  </si>
  <si>
    <t>bac.073</t>
  </si>
  <si>
    <t>bac.074</t>
  </si>
  <si>
    <t>bac.075</t>
  </si>
  <si>
    <t>bac.076</t>
  </si>
  <si>
    <t>bac.077</t>
  </si>
  <si>
    <t>bac.078</t>
  </si>
  <si>
    <t>bac.079</t>
  </si>
  <si>
    <t>bac.080</t>
  </si>
  <si>
    <t>bac.092</t>
  </si>
  <si>
    <t>bac.093</t>
  </si>
  <si>
    <t>bac.094</t>
  </si>
  <si>
    <t>bac.095</t>
  </si>
  <si>
    <t>bac.096</t>
  </si>
  <si>
    <t>bac.097</t>
  </si>
  <si>
    <t>bac.098</t>
  </si>
  <si>
    <t>bac.099</t>
  </si>
  <si>
    <t>bac.100</t>
  </si>
  <si>
    <t>bac.112</t>
  </si>
  <si>
    <t>bac.113</t>
  </si>
  <si>
    <t>bac.114</t>
  </si>
  <si>
    <t>bac.115</t>
  </si>
  <si>
    <t>bac.116</t>
  </si>
  <si>
    <t>bac.117</t>
  </si>
  <si>
    <t>bac.118</t>
  </si>
  <si>
    <t>bac.119</t>
  </si>
  <si>
    <t>bac.120</t>
  </si>
  <si>
    <t>bac.133</t>
  </si>
  <si>
    <t>bac.134</t>
  </si>
  <si>
    <t>bac.135</t>
  </si>
  <si>
    <t>bac.136</t>
  </si>
  <si>
    <t>bac.137</t>
  </si>
  <si>
    <t>bac.138</t>
  </si>
  <si>
    <t>bac.139</t>
  </si>
  <si>
    <t>bac.140</t>
  </si>
  <si>
    <t>bac.141</t>
  </si>
  <si>
    <t>bac.142</t>
  </si>
  <si>
    <t>bac.154</t>
  </si>
  <si>
    <t>bac.155</t>
  </si>
  <si>
    <t>bac.156</t>
  </si>
  <si>
    <t>bac.157</t>
  </si>
  <si>
    <t>bac.158</t>
  </si>
  <si>
    <t>bac.159</t>
  </si>
  <si>
    <t>bac.160</t>
  </si>
  <si>
    <t>bac.161</t>
  </si>
  <si>
    <t>bac.162</t>
  </si>
  <si>
    <t>bac.167</t>
  </si>
  <si>
    <t>PWH3a pre-phage 26Aug13</t>
  </si>
  <si>
    <t>bac.168</t>
  </si>
  <si>
    <t>PWH3a + phage 26Aug13</t>
  </si>
  <si>
    <t>vir.001</t>
  </si>
  <si>
    <t>TE 1</t>
  </si>
  <si>
    <t>vir.002</t>
  </si>
  <si>
    <t>TE 2</t>
  </si>
  <si>
    <t>vir.003</t>
  </si>
  <si>
    <t>vir.004</t>
  </si>
  <si>
    <t>vir.005</t>
  </si>
  <si>
    <t>vir.006</t>
  </si>
  <si>
    <t>vir.007</t>
  </si>
  <si>
    <t>vir.008</t>
  </si>
  <si>
    <t>vir.009</t>
  </si>
  <si>
    <t>vir.010</t>
  </si>
  <si>
    <t>vir.011</t>
  </si>
  <si>
    <t>vir.021</t>
  </si>
  <si>
    <t>vir.022</t>
  </si>
  <si>
    <t>vir.023</t>
  </si>
  <si>
    <t>vir.024</t>
  </si>
  <si>
    <t>vir.025</t>
  </si>
  <si>
    <t>vir.026</t>
  </si>
  <si>
    <t>vir.027</t>
  </si>
  <si>
    <t>vir.028</t>
  </si>
  <si>
    <t>vir.029</t>
  </si>
  <si>
    <t>vir.030</t>
  </si>
  <si>
    <t>vir.031</t>
  </si>
  <si>
    <t>vir.041</t>
  </si>
  <si>
    <t>vir.042</t>
  </si>
  <si>
    <t>vir.043</t>
  </si>
  <si>
    <t>vir.044</t>
  </si>
  <si>
    <t>vir.045</t>
  </si>
  <si>
    <t>vir.046</t>
  </si>
  <si>
    <t>vir.047</t>
  </si>
  <si>
    <t>vir.048</t>
  </si>
  <si>
    <t>vir.049</t>
  </si>
  <si>
    <t>vir.050</t>
  </si>
  <si>
    <t>vir.051</t>
  </si>
  <si>
    <t>vir.061</t>
  </si>
  <si>
    <t>vir.062</t>
  </si>
  <si>
    <t>vir.063</t>
  </si>
  <si>
    <t>vir.064</t>
  </si>
  <si>
    <t>vir.065</t>
  </si>
  <si>
    <t>vir.066</t>
  </si>
  <si>
    <t>vir.067</t>
  </si>
  <si>
    <t>vir.068</t>
  </si>
  <si>
    <t>vir.069</t>
  </si>
  <si>
    <t>vir.070</t>
  </si>
  <si>
    <t>vir.071</t>
  </si>
  <si>
    <t>vir.081</t>
  </si>
  <si>
    <t>vir.082</t>
  </si>
  <si>
    <t>vir.083</t>
  </si>
  <si>
    <t>vir.084</t>
  </si>
  <si>
    <t>vir.085</t>
  </si>
  <si>
    <t>vir.086</t>
  </si>
  <si>
    <t>vir.087</t>
  </si>
  <si>
    <t>vir.088</t>
  </si>
  <si>
    <t>vir.089</t>
  </si>
  <si>
    <t>vir.090</t>
  </si>
  <si>
    <t>vir.091</t>
  </si>
  <si>
    <t>vir.101</t>
  </si>
  <si>
    <t>vir.102</t>
  </si>
  <si>
    <t>vir.103</t>
  </si>
  <si>
    <t>vir.104</t>
  </si>
  <si>
    <t>vir.105</t>
  </si>
  <si>
    <t>vir.106</t>
  </si>
  <si>
    <t>vir.107</t>
  </si>
  <si>
    <t>vir.108</t>
  </si>
  <si>
    <t>vir.109</t>
  </si>
  <si>
    <t>vir.110</t>
  </si>
  <si>
    <t>vir.111</t>
  </si>
  <si>
    <t>vir.121</t>
  </si>
  <si>
    <t>vir.122</t>
  </si>
  <si>
    <t>vir.123</t>
  </si>
  <si>
    <t>vir.124</t>
  </si>
  <si>
    <t>vir.125</t>
  </si>
  <si>
    <t>vir.126</t>
  </si>
  <si>
    <t>vir.127</t>
  </si>
  <si>
    <t>vir.128</t>
  </si>
  <si>
    <t>vir.129</t>
  </si>
  <si>
    <t>vir.130</t>
  </si>
  <si>
    <t>vir.131</t>
  </si>
  <si>
    <t>vir.132</t>
  </si>
  <si>
    <t>vir.143</t>
  </si>
  <si>
    <t>vir.144</t>
  </si>
  <si>
    <t>vir.145</t>
  </si>
  <si>
    <t>vir.146</t>
  </si>
  <si>
    <t>vir.147</t>
  </si>
  <si>
    <t>vir.148</t>
  </si>
  <si>
    <t>vir.149</t>
  </si>
  <si>
    <t>vir.150</t>
  </si>
  <si>
    <t>vir.151</t>
  </si>
  <si>
    <t>vir.152</t>
  </si>
  <si>
    <t>vir.153</t>
  </si>
  <si>
    <t>vir.163</t>
  </si>
  <si>
    <t>vir.164</t>
  </si>
  <si>
    <t>vir.165</t>
  </si>
  <si>
    <t>vir.166</t>
  </si>
  <si>
    <t>vir.169</t>
  </si>
  <si>
    <t>Blank</t>
  </si>
  <si>
    <t>HNA (106 ml-1)</t>
  </si>
  <si>
    <t>CHNF SB1ca t1</t>
  </si>
  <si>
    <t>Increases</t>
  </si>
  <si>
    <t>Chla</t>
  </si>
  <si>
    <t>predominately a mixed diatom assemblage</t>
  </si>
  <si>
    <t>unknown strange little guys that I have to ID</t>
  </si>
  <si>
    <t># PWH3a that lysed</t>
  </si>
  <si>
    <t>cells/L</t>
  </si>
  <si>
    <t>cell N quota</t>
  </si>
  <si>
    <t>fmol/cell</t>
  </si>
  <si>
    <t>fmol/L</t>
  </si>
  <si>
    <t>umol/L</t>
  </si>
  <si>
    <t>N conc in Lys</t>
  </si>
  <si>
    <t>N conc in SW+L</t>
  </si>
  <si>
    <t xml:space="preserve">   (added 8ml to 700ml)</t>
  </si>
  <si>
    <t>PWH3a pre-phage</t>
  </si>
  <si>
    <t>PWH3a post-phage</t>
  </si>
  <si>
    <t>P1/L</t>
  </si>
  <si>
    <t>Phage added</t>
  </si>
  <si>
    <t>ml</t>
  </si>
  <si>
    <t>Vol. PWH3a</t>
  </si>
  <si>
    <t>MOI</t>
  </si>
  <si>
    <t>Phage conc in PWH3a</t>
  </si>
  <si>
    <t>Phage conc in stock</t>
  </si>
  <si>
    <t>Both SW+L treatments have the most Bac growth (makes sense). I think there was some mistake with SB T=1… recommend doing T=0 and T=end only for figures.</t>
  </si>
  <si>
    <t>a</t>
  </si>
  <si>
    <t>b</t>
  </si>
  <si>
    <t>c</t>
  </si>
  <si>
    <t>Anova: Single Factor</t>
  </si>
  <si>
    <t>SUMMARY</t>
  </si>
  <si>
    <t>Groups</t>
  </si>
  <si>
    <t>Count</t>
  </si>
  <si>
    <t>Sum</t>
  </si>
  <si>
    <t>Variance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</si>
  <si>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</si>
  <si>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</si>
  <si>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</si>
  <si>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</si>
  <si>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</si>
  <si>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</si>
  <si>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</si>
  <si>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</si>
  <si>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</si>
  <si>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</si>
  <si>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</si>
  <si>
    <t>Notes: Highest growth in SW+N for SB</t>
  </si>
  <si>
    <t>Notes: No significant differences between increases in JP.</t>
  </si>
  <si>
    <t>pre</t>
  </si>
  <si>
    <t>post</t>
  </si>
  <si>
    <t>fold decrease</t>
  </si>
  <si>
    <t xml:space="preserve">              BOSTON UNIVERSITY STABLE ISOTOPE LABORATORY</t>
  </si>
  <si>
    <t xml:space="preserve">                                            DATA SHEET</t>
  </si>
  <si>
    <t>Date: 19 September 2013</t>
  </si>
  <si>
    <t>Samples Arrived:  9/14/13</t>
  </si>
  <si>
    <t>Client:  Emma Shelford</t>
  </si>
  <si>
    <t>Job Number:   13N48</t>
  </si>
  <si>
    <t>Project:  University of British Columbia</t>
  </si>
  <si>
    <t xml:space="preserve">Comments:  </t>
  </si>
  <si>
    <t>Data emailed: 9/20/13</t>
  </si>
  <si>
    <t>File name: sh13N48.xls</t>
  </si>
  <si>
    <t>Samples Returned/Archived:  consumed</t>
  </si>
  <si>
    <t>Data Location:   Con  473</t>
  </si>
  <si>
    <r>
      <t xml:space="preserve">Expected </t>
    </r>
    <r>
      <rPr>
        <b/>
        <vertAlign val="superscript"/>
        <sz val="10"/>
        <color indexed="8"/>
        <rFont val="Nebraska"/>
        <family val="2"/>
      </rPr>
      <t>15</t>
    </r>
    <r>
      <rPr>
        <b/>
        <sz val="10"/>
        <color indexed="8"/>
        <rFont val="Nebraska"/>
        <family val="2"/>
      </rPr>
      <t>N values:</t>
    </r>
  </si>
  <si>
    <t>glycine</t>
  </si>
  <si>
    <t xml:space="preserve">IMPORTANT DISCLAIMER:  Due to a quirk in Excel, numbers are shown to 9 decimal places.  </t>
  </si>
  <si>
    <t>peptone</t>
  </si>
  <si>
    <t>Values MUST be rounded to 2 decimal places.  The accuracy of the data are reliable to 2 decimal places ONLY.</t>
  </si>
  <si>
    <t>Vol filt. (ml)</t>
  </si>
  <si>
    <t>[N] (umol)</t>
  </si>
  <si>
    <t>[N] (umol/ml)</t>
  </si>
  <si>
    <t>[15N] taken up (umol/ml)</t>
  </si>
  <si>
    <t>15N uptake (umol/L)</t>
  </si>
  <si>
    <t>Tray</t>
  </si>
  <si>
    <t>Sample</t>
  </si>
  <si>
    <t xml:space="preserve">Wt </t>
  </si>
  <si>
    <t>N Ht.</t>
  </si>
  <si>
    <t>[N]</t>
  </si>
  <si>
    <r>
      <t>d</t>
    </r>
    <r>
      <rPr>
        <b/>
        <vertAlign val="superscript"/>
        <sz val="10"/>
        <rFont val="Nebraska"/>
        <family val="2"/>
      </rPr>
      <t>15</t>
    </r>
    <r>
      <rPr>
        <b/>
        <sz val="10"/>
        <rFont val="Nebraska"/>
        <family val="2"/>
      </rPr>
      <t>N</t>
    </r>
  </si>
  <si>
    <t>Atom %</t>
  </si>
  <si>
    <t>Comments</t>
  </si>
  <si>
    <t>(mg)</t>
  </si>
  <si>
    <t>nA</t>
  </si>
  <si>
    <t>(umoles)</t>
  </si>
  <si>
    <t>(air)</t>
  </si>
  <si>
    <t>Run</t>
  </si>
  <si>
    <t>W/F</t>
  </si>
  <si>
    <t>Label</t>
  </si>
  <si>
    <t>Vol filt.</t>
  </si>
  <si>
    <t>R</t>
  </si>
  <si>
    <t>[15N] taken up</t>
  </si>
  <si>
    <t>15N uptake</t>
  </si>
  <si>
    <t>Tray 511D-05</t>
  </si>
  <si>
    <t>(ml)</t>
  </si>
  <si>
    <t>(umol)</t>
  </si>
  <si>
    <t>(umol/ml)</t>
  </si>
  <si>
    <t>(umol/L)</t>
  </si>
  <si>
    <t>Tray 521A- 1</t>
  </si>
  <si>
    <t>Filter S</t>
  </si>
  <si>
    <t>Peak area below calibration curve.</t>
  </si>
  <si>
    <t>whole</t>
  </si>
  <si>
    <t>Tray 521A- 3</t>
  </si>
  <si>
    <t>Filter A</t>
  </si>
  <si>
    <t>Tray 521A- 6</t>
  </si>
  <si>
    <t>Filter D</t>
  </si>
  <si>
    <t>Tray 521A- 7</t>
  </si>
  <si>
    <t>Filter E</t>
  </si>
  <si>
    <t>H</t>
  </si>
  <si>
    <t>Fold decrease</t>
  </si>
  <si>
    <t>SW+L F</t>
  </si>
  <si>
    <t>Expected</t>
  </si>
  <si>
    <t>SW+L W</t>
  </si>
  <si>
    <t>Proportion</t>
  </si>
  <si>
    <t>Tray 521A- 9</t>
  </si>
  <si>
    <t>Filter G</t>
  </si>
  <si>
    <t>J</t>
  </si>
  <si>
    <t>Tray 521A-11</t>
  </si>
  <si>
    <t>L</t>
  </si>
  <si>
    <t>Tray 521B- 2</t>
  </si>
  <si>
    <t>Filter K</t>
  </si>
  <si>
    <t>filt.</t>
  </si>
  <si>
    <t>G</t>
  </si>
  <si>
    <t>Tray 521B- 3</t>
  </si>
  <si>
    <t>Filter L</t>
  </si>
  <si>
    <t>I</t>
  </si>
  <si>
    <t>Tray 521B- 4</t>
  </si>
  <si>
    <t>Filter M</t>
  </si>
  <si>
    <t>K</t>
  </si>
  <si>
    <t>Tray 521B- 5</t>
  </si>
  <si>
    <t>Filter N</t>
  </si>
  <si>
    <t>D</t>
  </si>
  <si>
    <t>Tray 521B- 8</t>
  </si>
  <si>
    <t>Filter Q</t>
  </si>
  <si>
    <t>E</t>
  </si>
  <si>
    <t>Tray 521B- 9</t>
  </si>
  <si>
    <t>Filter R</t>
  </si>
  <si>
    <t>Lost.  Got stuck in autosampler and dropped into furnace</t>
  </si>
  <si>
    <t>Therefore, all the SW+L W is from PP (prop&gt;1)</t>
  </si>
  <si>
    <t>Tray 521C- 1</t>
  </si>
  <si>
    <t>before I could grab it.</t>
  </si>
  <si>
    <t>N</t>
  </si>
  <si>
    <t>Tray 521C- 2</t>
  </si>
  <si>
    <t>P</t>
  </si>
  <si>
    <t>Tray 521C- 3</t>
  </si>
  <si>
    <t>Filter T</t>
  </si>
  <si>
    <t>Tray 521C- 4</t>
  </si>
  <si>
    <t>Filter B</t>
  </si>
  <si>
    <t>M</t>
  </si>
  <si>
    <t>Tray 521C- 5</t>
  </si>
  <si>
    <t>Filter C</t>
  </si>
  <si>
    <t>O</t>
  </si>
  <si>
    <t>Tray 521C- 6</t>
  </si>
  <si>
    <t>Filter F</t>
  </si>
  <si>
    <t>Q</t>
  </si>
  <si>
    <t>Tray 521C- 7</t>
  </si>
  <si>
    <t>Filter H</t>
  </si>
  <si>
    <t>blank</t>
  </si>
  <si>
    <t>S</t>
  </si>
  <si>
    <t>Tray 521C- 8</t>
  </si>
  <si>
    <t>Filter I</t>
  </si>
  <si>
    <t>T</t>
  </si>
  <si>
    <t>Tray 521C- 9</t>
  </si>
  <si>
    <t>Filter J</t>
  </si>
  <si>
    <t>Tray 521C-10</t>
  </si>
  <si>
    <t>Filter O</t>
  </si>
  <si>
    <t>Tray 521C-11</t>
  </si>
  <si>
    <t>Filter P</t>
  </si>
  <si>
    <t>So there is definitely evidence for uptake of Lys products.</t>
  </si>
  <si>
    <t>T=end</t>
  </si>
  <si>
    <t>PP (cells/L)</t>
  </si>
  <si>
    <t>SW+N information just tells me that there was indeed uptake of the N-15.</t>
  </si>
  <si>
    <t>fmol uptake per cell</t>
  </si>
  <si>
    <t>(although this number is only for picophytoplankton!)</t>
  </si>
  <si>
    <t>t tests between t0 and t3</t>
  </si>
  <si>
    <t>Saanich Inlet</t>
  </si>
  <si>
    <t>Fraser River Plume</t>
  </si>
  <si>
    <t>Gorge Harbour</t>
  </si>
  <si>
    <t>uM 15-N taken up</t>
  </si>
  <si>
    <t>Range</t>
  </si>
  <si>
    <t>(from 13-09-03 Boston N-15 Results.xls)</t>
  </si>
  <si>
    <t>SI</t>
  </si>
  <si>
    <t>FRP</t>
  </si>
  <si>
    <t>GH</t>
  </si>
  <si>
    <t>Range/StDev</t>
  </si>
  <si>
    <t>T25.5-T0</t>
  </si>
  <si>
    <t>ttest</t>
  </si>
  <si>
    <t>For R:</t>
  </si>
  <si>
    <t>Drawdown</t>
  </si>
  <si>
    <t>Ave</t>
  </si>
  <si>
    <t>(from lab book B6:123)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</si>
</sst>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m/d/yy;@"/>
    <numFmt numFmtId="166" formatCode="m/d/yy"/>
    <numFmt numFmtId="167" formatCode="0.0000"/>
    <numFmt numFmtId="168" formatCode="0.000000"/>
    <numFmt numFmtId="169" formatCode="0.00000"/>
  </numFmts>
  <fonts count="2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0"/>
      <name val="Helvetica Neue"/>
    </font>
    <font>
      <b/>
      <vertAlign val="superscript"/>
      <sz val="10"/>
      <color indexed="0"/>
      <name val="Helvetica Neue"/>
    </font>
    <font>
      <sz val="10"/>
      <color indexed="0"/>
      <name val="Helvetica Neue"/>
    </font>
    <font>
      <sz val="10"/>
      <color theme="1"/>
      <name val="Arial"/>
      <family val="2"/>
    </font>
    <font>
      <sz val="9"/>
      <name val="Geneva"/>
    </font>
    <font>
      <i/>
      <sz val="11"/>
      <color theme="1"/>
      <name val="Calibri"/>
      <family val="2"/>
      <scheme val="minor"/>
    </font>
    <font>
      <b/>
      <i/>
      <sz val="16"/>
      <color indexed="8"/>
      <name val="Victorian LET"/>
    </font>
    <font>
      <sz val="16"/>
      <color indexed="8"/>
      <name val="Victorian LET"/>
    </font>
    <font>
      <sz val="10"/>
      <color indexed="8"/>
      <name val="Nebraska"/>
      <family val="2"/>
    </font>
    <font>
      <sz val="10"/>
      <color indexed="8"/>
      <name val="Arial"/>
      <family val="2"/>
    </font>
    <font>
      <b/>
      <sz val="10"/>
      <color indexed="8"/>
      <name val="Nebraska"/>
      <family val="2"/>
    </font>
    <font>
      <b/>
      <vertAlign val="superscript"/>
      <sz val="10"/>
      <color indexed="8"/>
      <name val="Nebraska"/>
      <family val="2"/>
    </font>
    <font>
      <b/>
      <i/>
      <sz val="11"/>
      <color indexed="10"/>
      <name val="Nebraska"/>
      <family val="2"/>
    </font>
    <font>
      <b/>
      <sz val="11"/>
      <color indexed="10"/>
      <name val="Nebraska"/>
      <family val="2"/>
    </font>
    <font>
      <sz val="9"/>
      <color indexed="8"/>
      <name val="Arial"/>
      <family val="2"/>
    </font>
    <font>
      <b/>
      <sz val="9"/>
      <color indexed="8"/>
      <name val="Nebraska"/>
      <family val="2"/>
    </font>
    <font>
      <b/>
      <i/>
      <sz val="11"/>
      <name val="Nebraska"/>
      <family val="2"/>
    </font>
    <font>
      <b/>
      <sz val="10"/>
      <name val="Symbol"/>
      <family val="1"/>
      <charset val="2"/>
    </font>
    <font>
      <b/>
      <vertAlign val="superscript"/>
      <sz val="10"/>
      <name val="Nebraska"/>
      <family val="2"/>
    </font>
    <font>
      <b/>
      <sz val="10"/>
      <name val="Nebraska"/>
      <family val="2"/>
    </font>
    <font>
      <b/>
      <sz val="11"/>
      <name val="Nebraska"/>
      <family val="2"/>
    </font>
    <font>
      <b/>
      <sz val="11"/>
      <color indexed="8"/>
      <name val="Nebraska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3" fillId="0" borderId="0"/>
    <xf numFmtId="0" fontId="7" fillId="0" borderId="0"/>
    <xf numFmtId="0" fontId="2" fillId="0" borderId="0"/>
    <xf numFmtId="0" fontId="8" fillId="0" borderId="0"/>
  </cellStyleXfs>
  <cellXfs count="87">
    <xf numFmtId="0" fontId="0" fillId="0" borderId="0" xfId="0"/>
    <xf numFmtId="0" fontId="1" fillId="0" borderId="0" xfId="0" applyFont="1"/>
    <xf numFmtId="15" fontId="0" fillId="0" borderId="0" xfId="0" applyNumberFormat="1"/>
    <xf numFmtId="0" fontId="8" fillId="0" borderId="0" xfId="4"/>
    <xf numFmtId="0" fontId="0" fillId="0" borderId="0" xfId="0"/>
    <xf numFmtId="0" fontId="4" fillId="2" borderId="1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vertical="top"/>
    </xf>
    <xf numFmtId="2" fontId="6" fillId="0" borderId="1" xfId="0" applyNumberFormat="1" applyFont="1" applyFill="1" applyBorder="1" applyAlignment="1">
      <alignment vertical="top"/>
    </xf>
    <xf numFmtId="0" fontId="8" fillId="0" borderId="0" xfId="4"/>
    <xf numFmtId="0" fontId="8" fillId="0" borderId="0" xfId="4"/>
    <xf numFmtId="0" fontId="8" fillId="0" borderId="0" xfId="4"/>
    <xf numFmtId="0" fontId="6" fillId="0" borderId="0" xfId="0" applyNumberFormat="1" applyFont="1" applyFill="1" applyBorder="1" applyAlignment="1">
      <alignment vertical="top"/>
    </xf>
    <xf numFmtId="0" fontId="0" fillId="0" borderId="0" xfId="0"/>
    <xf numFmtId="0" fontId="4" fillId="2" borderId="1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vertical="top"/>
    </xf>
    <xf numFmtId="2" fontId="6" fillId="0" borderId="1" xfId="0" applyNumberFormat="1" applyFont="1" applyFill="1" applyBorder="1" applyAlignment="1">
      <alignment vertical="top"/>
    </xf>
    <xf numFmtId="2" fontId="0" fillId="0" borderId="0" xfId="0" applyNumberFormat="1"/>
    <xf numFmtId="0" fontId="8" fillId="0" borderId="0" xfId="4"/>
    <xf numFmtId="0" fontId="8" fillId="3" borderId="0" xfId="4" applyFill="1"/>
    <xf numFmtId="0" fontId="8" fillId="0" borderId="0" xfId="4"/>
    <xf numFmtId="1" fontId="0" fillId="0" borderId="0" xfId="0" applyNumberFormat="1"/>
    <xf numFmtId="0" fontId="0" fillId="3" borderId="0" xfId="0" applyFill="1"/>
    <xf numFmtId="1" fontId="0" fillId="3" borderId="0" xfId="0" applyNumberFormat="1" applyFill="1"/>
    <xf numFmtId="0" fontId="0" fillId="0" borderId="0" xfId="0" applyFill="1" applyBorder="1" applyAlignment="1"/>
    <xf numFmtId="0" fontId="0" fillId="0" borderId="2" xfId="0" applyFill="1" applyBorder="1" applyAlignment="1"/>
    <xf numFmtId="0" fontId="9" fillId="0" borderId="3" xfId="0" applyFont="1" applyFill="1" applyBorder="1" applyAlignment="1">
      <alignment horizont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Font="1" applyAlignment="1">
      <alignment horizontal="center"/>
    </xf>
    <xf numFmtId="2" fontId="10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165" fontId="10" fillId="0" borderId="0" xfId="0" applyNumberFormat="1" applyFont="1" applyAlignment="1">
      <alignment horizontal="center"/>
    </xf>
    <xf numFmtId="0" fontId="10" fillId="0" borderId="0" xfId="0" applyFont="1" applyAlignment="1"/>
    <xf numFmtId="0" fontId="11" fillId="0" borderId="0" xfId="0" applyFont="1"/>
    <xf numFmtId="0" fontId="12" fillId="0" borderId="0" xfId="0" applyNumberFormat="1" applyFont="1" applyAlignment="1">
      <alignment horizontal="left"/>
    </xf>
    <xf numFmtId="0" fontId="13" fillId="0" borderId="0" xfId="0" applyFont="1" applyAlignment="1">
      <alignment horizontal="center"/>
    </xf>
    <xf numFmtId="2" fontId="12" fillId="0" borderId="0" xfId="0" applyNumberFormat="1" applyFont="1" applyAlignment="1">
      <alignment horizontal="center"/>
    </xf>
    <xf numFmtId="16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2" fillId="0" borderId="0" xfId="0" applyFont="1"/>
    <xf numFmtId="0" fontId="13" fillId="0" borderId="0" xfId="0" applyFont="1"/>
    <xf numFmtId="0" fontId="12" fillId="0" borderId="0" xfId="0" applyNumberFormat="1" applyFont="1" applyAlignment="1" applyProtection="1">
      <alignment horizontal="left"/>
    </xf>
    <xf numFmtId="2" fontId="13" fillId="0" borderId="0" xfId="0" applyNumberFormat="1" applyFont="1" applyAlignment="1">
      <alignment horizontal="center"/>
    </xf>
    <xf numFmtId="2" fontId="12" fillId="0" borderId="0" xfId="0" applyNumberFormat="1" applyFont="1" applyAlignment="1" applyProtection="1">
      <alignment horizontal="left"/>
    </xf>
    <xf numFmtId="164" fontId="13" fillId="0" borderId="0" xfId="0" applyNumberFormat="1" applyFont="1" applyAlignment="1">
      <alignment horizontal="center"/>
    </xf>
    <xf numFmtId="2" fontId="12" fillId="0" borderId="0" xfId="0" applyNumberFormat="1" applyFont="1" applyAlignment="1">
      <alignment horizontal="left"/>
    </xf>
    <xf numFmtId="2" fontId="14" fillId="4" borderId="0" xfId="0" applyNumberFormat="1" applyFont="1" applyFill="1" applyAlignment="1">
      <alignment horizontal="left"/>
    </xf>
    <xf numFmtId="2" fontId="14" fillId="4" borderId="0" xfId="0" applyNumberFormat="1" applyFont="1" applyFill="1" applyAlignment="1">
      <alignment horizontal="center"/>
    </xf>
    <xf numFmtId="14" fontId="14" fillId="4" borderId="0" xfId="0" applyNumberFormat="1" applyFont="1" applyFill="1" applyAlignment="1">
      <alignment horizontal="center"/>
    </xf>
    <xf numFmtId="0" fontId="12" fillId="0" borderId="0" xfId="0" applyNumberFormat="1" applyFont="1" applyAlignment="1">
      <alignment horizontal="center"/>
    </xf>
    <xf numFmtId="0" fontId="16" fillId="0" borderId="0" xfId="0" applyNumberFormat="1" applyFont="1" applyAlignment="1">
      <alignment horizontal="left"/>
    </xf>
    <xf numFmtId="14" fontId="12" fillId="0" borderId="0" xfId="0" applyNumberFormat="1" applyFont="1" applyAlignment="1">
      <alignment horizontal="center"/>
    </xf>
    <xf numFmtId="0" fontId="17" fillId="0" borderId="0" xfId="0" applyFont="1" applyAlignment="1">
      <alignment horizontal="left"/>
    </xf>
    <xf numFmtId="0" fontId="18" fillId="0" borderId="0" xfId="0" applyFont="1"/>
    <xf numFmtId="0" fontId="19" fillId="0" borderId="0" xfId="0" applyFont="1" applyBorder="1"/>
    <xf numFmtId="0" fontId="20" fillId="0" borderId="0" xfId="0" applyFont="1" applyFill="1" applyAlignment="1">
      <alignment horizontal="center"/>
    </xf>
    <xf numFmtId="165" fontId="20" fillId="0" borderId="0" xfId="0" applyNumberFormat="1" applyFont="1" applyFill="1" applyAlignment="1" applyProtection="1">
      <alignment horizontal="center"/>
    </xf>
    <xf numFmtId="2" fontId="20" fillId="0" borderId="0" xfId="0" applyNumberFormat="1" applyFont="1" applyFill="1" applyAlignment="1">
      <alignment horizontal="center"/>
    </xf>
    <xf numFmtId="2" fontId="21" fillId="0" borderId="0" xfId="0" applyNumberFormat="1" applyFont="1" applyFill="1" applyAlignment="1">
      <alignment horizontal="center"/>
    </xf>
    <xf numFmtId="0" fontId="24" fillId="0" borderId="0" xfId="0" applyFont="1" applyAlignment="1">
      <alignment horizontal="center"/>
    </xf>
    <xf numFmtId="165" fontId="25" fillId="0" borderId="0" xfId="0" applyNumberFormat="1" applyFont="1" applyAlignment="1">
      <alignment horizontal="center"/>
    </xf>
    <xf numFmtId="49" fontId="25" fillId="0" borderId="0" xfId="0" applyNumberFormat="1" applyFont="1" applyBorder="1" applyAlignment="1">
      <alignment horizontal="center"/>
    </xf>
    <xf numFmtId="0" fontId="20" fillId="0" borderId="4" xfId="0" applyFont="1" applyFill="1" applyBorder="1" applyAlignment="1">
      <alignment horizontal="center"/>
    </xf>
    <xf numFmtId="165" fontId="20" fillId="0" borderId="4" xfId="0" applyNumberFormat="1" applyFont="1" applyFill="1" applyBorder="1" applyAlignment="1">
      <alignment horizontal="center"/>
    </xf>
    <xf numFmtId="2" fontId="20" fillId="0" borderId="4" xfId="0" applyNumberFormat="1" applyFont="1" applyFill="1" applyBorder="1" applyAlignment="1">
      <alignment horizontal="center"/>
    </xf>
    <xf numFmtId="2" fontId="25" fillId="0" borderId="4" xfId="0" applyNumberFormat="1" applyFont="1" applyBorder="1" applyAlignment="1">
      <alignment horizontal="center"/>
    </xf>
    <xf numFmtId="165" fontId="25" fillId="0" borderId="4" xfId="0" applyNumberFormat="1" applyFont="1" applyBorder="1" applyAlignment="1">
      <alignment horizontal="center"/>
    </xf>
    <xf numFmtId="49" fontId="25" fillId="0" borderId="4" xfId="0" applyNumberFormat="1" applyFont="1" applyBorder="1" applyAlignment="1">
      <alignment horizontal="center"/>
    </xf>
    <xf numFmtId="0" fontId="0" fillId="0" borderId="0" xfId="0" applyAlignment="1" applyProtection="1">
      <alignment horizontal="right"/>
    </xf>
    <xf numFmtId="0" fontId="0" fillId="0" borderId="0" xfId="0" applyProtection="1"/>
    <xf numFmtId="2" fontId="3" fillId="0" borderId="0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166" fontId="13" fillId="0" borderId="0" xfId="0" applyNumberFormat="1" applyFont="1" applyAlignment="1">
      <alignment horizontal="center"/>
    </xf>
    <xf numFmtId="0" fontId="0" fillId="0" borderId="0" xfId="0" applyAlignment="1" applyProtection="1">
      <alignment horizontal="center"/>
    </xf>
    <xf numFmtId="2" fontId="0" fillId="0" borderId="0" xfId="0" applyNumberFormat="1" applyAlignment="1" applyProtection="1">
      <alignment horizontal="center"/>
    </xf>
    <xf numFmtId="167" fontId="0" fillId="0" borderId="0" xfId="0" applyNumberFormat="1" applyAlignment="1">
      <alignment horizontal="center"/>
    </xf>
    <xf numFmtId="164" fontId="0" fillId="0" borderId="0" xfId="0" applyNumberFormat="1" applyAlignment="1" applyProtection="1">
      <alignment horizontal="center"/>
    </xf>
    <xf numFmtId="168" fontId="0" fillId="0" borderId="0" xfId="0" applyNumberFormat="1" applyAlignment="1">
      <alignment horizontal="center"/>
    </xf>
    <xf numFmtId="0" fontId="3" fillId="0" borderId="0" xfId="0" applyFont="1"/>
    <xf numFmtId="164" fontId="0" fillId="0" borderId="0" xfId="0" applyNumberFormat="1"/>
    <xf numFmtId="0" fontId="0" fillId="0" borderId="0" xfId="0" applyAlignment="1">
      <alignment horizontal="center"/>
    </xf>
    <xf numFmtId="0" fontId="26" fillId="0" borderId="0" xfId="0" applyFont="1" applyAlignment="1" applyProtection="1">
      <alignment horizontal="center"/>
    </xf>
    <xf numFmtId="169" fontId="0" fillId="0" borderId="0" xfId="0" applyNumberFormat="1"/>
    <xf numFmtId="2" fontId="1" fillId="0" borderId="0" xfId="0" applyNumberFormat="1" applyFont="1"/>
    <xf numFmtId="0" fontId="2" fillId="0" borderId="0" xfId="3" applyAlignment="1">
      <alignment horizontal="center" wrapText="1"/>
    </xf>
  </cellXfs>
  <cellStyles count="5">
    <cellStyle name="Normal" xfId="0" builtinId="0"/>
    <cellStyle name="Normal 2" xfId="1" xr:uid="{00000000-0005-0000-0000-000001000000}"/>
    <cellStyle name="Normal 2 2" xfId="3" xr:uid="{00000000-0005-0000-0000-000002000000}"/>
    <cellStyle name="Normal 3" xfId="2" xr:uid="{00000000-0005-0000-0000-000003000000}"/>
    <cellStyle name="Normal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'NH4'!$C$3:$C$7</c:f>
              <c:numCache>
                <c:formatCode>General</c:formatCode>
                <c:ptCount val="5"/>
                <c:pt idx="0">
                  <c:v>0</c:v>
                </c:pt>
                <c:pt idx="1">
                  <c:v>0.1</c:v>
                </c:pt>
                <c:pt idx="2">
                  <c:v>0.25</c:v>
                </c:pt>
                <c:pt idx="3">
                  <c:v>0.5</c:v>
                </c:pt>
                <c:pt idx="4">
                  <c:v>1</c:v>
                </c:pt>
              </c:numCache>
            </c:numRef>
          </c:xVal>
          <c:yVal>
            <c:numRef>
              <c:f>'NH4'!$F$3:$F$7</c:f>
              <c:numCache>
                <c:formatCode>General</c:formatCode>
                <c:ptCount val="5"/>
                <c:pt idx="0">
                  <c:v>29.75</c:v>
                </c:pt>
                <c:pt idx="1">
                  <c:v>75.550000000000011</c:v>
                </c:pt>
                <c:pt idx="2">
                  <c:v>144.6</c:v>
                </c:pt>
                <c:pt idx="3">
                  <c:v>245.64999999999998</c:v>
                </c:pt>
                <c:pt idx="4">
                  <c:v>527.09999999999991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73-492A-AD1E-18155F5AC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734592"/>
        <c:axId val="112407680"/>
      </c:scatterChart>
      <c:valAx>
        <c:axId val="52734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407680"/>
        <c:crosses val="autoZero"/>
        <c:crossBetween val="midCat"/>
      </c:valAx>
      <c:valAx>
        <c:axId val="1124076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527345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CA"/>
              <a:t>JP</a:t>
            </a:r>
          </a:p>
        </c:rich>
      </c:tx>
      <c:layout>
        <c:manualLayout>
          <c:xMode val="edge"/>
          <c:yMode val="edge"/>
          <c:x val="2.2666666666666658E-2"/>
          <c:y val="2.7777777777777776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Bac!$U$19</c:f>
              <c:strCache>
                <c:ptCount val="1"/>
                <c:pt idx="0">
                  <c:v>SW+L</c:v>
                </c:pt>
              </c:strCache>
            </c:strRef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Bac!$V$23:$Y$23</c:f>
                <c:numCache>
                  <c:formatCode>General</c:formatCode>
                  <c:ptCount val="4"/>
                  <c:pt idx="0">
                    <c:v>8.1359722856526401E-2</c:v>
                  </c:pt>
                  <c:pt idx="1">
                    <c:v>2.9278096723923657</c:v>
                  </c:pt>
                  <c:pt idx="2">
                    <c:v>6.0760698512473565</c:v>
                  </c:pt>
                  <c:pt idx="3">
                    <c:v>5.3712789048017324</c:v>
                  </c:pt>
                </c:numCache>
              </c:numRef>
            </c:plus>
            <c:minus>
              <c:numRef>
                <c:f>Bac!$V$23:$Y$23</c:f>
                <c:numCache>
                  <c:formatCode>General</c:formatCode>
                  <c:ptCount val="4"/>
                  <c:pt idx="0">
                    <c:v>8.1359722856526401E-2</c:v>
                  </c:pt>
                  <c:pt idx="1">
                    <c:v>2.9278096723923657</c:v>
                  </c:pt>
                  <c:pt idx="2">
                    <c:v>6.0760698512473565</c:v>
                  </c:pt>
                  <c:pt idx="3">
                    <c:v>5.3712789048017324</c:v>
                  </c:pt>
                </c:numCache>
              </c:numRef>
            </c:minus>
          </c:errBars>
          <c:xVal>
            <c:numRef>
              <c:f>Bac!$V$18:$Y$18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Bac!$V$19:$Y$19</c:f>
              <c:numCache>
                <c:formatCode>0.00</c:formatCode>
                <c:ptCount val="4"/>
                <c:pt idx="0">
                  <c:v>14.362124120281509</c:v>
                </c:pt>
                <c:pt idx="1">
                  <c:v>22.987843889955215</c:v>
                </c:pt>
                <c:pt idx="2">
                  <c:v>50.136916186820208</c:v>
                </c:pt>
                <c:pt idx="3">
                  <c:v>60.081253998720406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A6-42E5-A3C1-35F453C75E48}"/>
            </c:ext>
          </c:extLst>
        </c:ser>
        <c:ser>
          <c:idx val="1"/>
          <c:order val="1"/>
          <c:tx>
            <c:strRef>
              <c:f>Bac!$U$20</c:f>
              <c:strCache>
                <c:ptCount val="1"/>
                <c:pt idx="0">
                  <c:v>SW+N</c:v>
                </c:pt>
              </c:strCache>
            </c:strRef>
          </c:tx>
          <c:spPr>
            <a:ln w="285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Bac!$V$24:$Y$24</c:f>
                <c:numCache>
                  <c:formatCode>General</c:formatCode>
                  <c:ptCount val="4"/>
                  <c:pt idx="0">
                    <c:v>8.2163264269629527E-2</c:v>
                  </c:pt>
                  <c:pt idx="1">
                    <c:v>2.2844191663144406</c:v>
                  </c:pt>
                  <c:pt idx="2">
                    <c:v>1.0788498221597349</c:v>
                  </c:pt>
                  <c:pt idx="3">
                    <c:v>3.9674436958442696</c:v>
                  </c:pt>
                </c:numCache>
              </c:numRef>
            </c:plus>
            <c:minus>
              <c:numRef>
                <c:f>Bac!$V$24:$Y$24</c:f>
                <c:numCache>
                  <c:formatCode>General</c:formatCode>
                  <c:ptCount val="4"/>
                  <c:pt idx="0">
                    <c:v>8.2163264269629527E-2</c:v>
                  </c:pt>
                  <c:pt idx="1">
                    <c:v>2.2844191663144406</c:v>
                  </c:pt>
                  <c:pt idx="2">
                    <c:v>1.0788498221597349</c:v>
                  </c:pt>
                  <c:pt idx="3">
                    <c:v>3.9674436958442696</c:v>
                  </c:pt>
                </c:numCache>
              </c:numRef>
            </c:minus>
          </c:errBars>
          <c:xVal>
            <c:numRef>
              <c:f>Bac!$V$18:$Y$18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Bac!$V$20:$Y$20</c:f>
              <c:numCache>
                <c:formatCode>0.00</c:formatCode>
                <c:ptCount val="4"/>
                <c:pt idx="0">
                  <c:v>14.423544465770954</c:v>
                </c:pt>
                <c:pt idx="1">
                  <c:v>18.124120281509917</c:v>
                </c:pt>
                <c:pt idx="2">
                  <c:v>32.549584133077417</c:v>
                </c:pt>
                <c:pt idx="3">
                  <c:v>39.920025591810628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A6-42E5-A3C1-35F453C75E48}"/>
            </c:ext>
          </c:extLst>
        </c:ser>
        <c:ser>
          <c:idx val="2"/>
          <c:order val="2"/>
          <c:tx>
            <c:strRef>
              <c:f>Bac!$U$21</c:f>
              <c:strCache>
                <c:ptCount val="1"/>
                <c:pt idx="0">
                  <c:v>SW</c:v>
                </c:pt>
              </c:strCache>
            </c:strRef>
          </c:tx>
          <c:spPr>
            <a:ln w="28575">
              <a:solidFill>
                <a:schemeClr val="tx1"/>
              </a:solidFill>
              <a:prstDash val="sys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Bac!$V$25:$Y$25</c:f>
                <c:numCache>
                  <c:formatCode>General</c:formatCode>
                  <c:ptCount val="4"/>
                  <c:pt idx="0">
                    <c:v>0.27969592365826929</c:v>
                  </c:pt>
                  <c:pt idx="1">
                    <c:v>0.34458365658799328</c:v>
                  </c:pt>
                  <c:pt idx="2">
                    <c:v>0.31321294681140927</c:v>
                  </c:pt>
                  <c:pt idx="3">
                    <c:v>0.35330778300014754</c:v>
                  </c:pt>
                </c:numCache>
              </c:numRef>
            </c:plus>
            <c:minus>
              <c:numRef>
                <c:f>Bac!$V$25:$Y$25</c:f>
                <c:numCache>
                  <c:formatCode>General</c:formatCode>
                  <c:ptCount val="4"/>
                  <c:pt idx="0">
                    <c:v>0.27969592365826929</c:v>
                  </c:pt>
                  <c:pt idx="1">
                    <c:v>0.34458365658799328</c:v>
                  </c:pt>
                  <c:pt idx="2">
                    <c:v>0.31321294681140927</c:v>
                  </c:pt>
                  <c:pt idx="3">
                    <c:v>0.35330778300014754</c:v>
                  </c:pt>
                </c:numCache>
              </c:numRef>
            </c:minus>
          </c:errBars>
          <c:xVal>
            <c:numRef>
              <c:f>Bac!$V$18:$Y$18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Bac!$V$21:$Y$21</c:f>
              <c:numCache>
                <c:formatCode>0.00</c:formatCode>
                <c:ptCount val="4"/>
                <c:pt idx="0">
                  <c:v>14.415866922584774</c:v>
                </c:pt>
                <c:pt idx="1">
                  <c:v>19.754318618042227</c:v>
                </c:pt>
                <c:pt idx="2">
                  <c:v>28.570057581573895</c:v>
                </c:pt>
                <c:pt idx="3">
                  <c:v>31.886756238003841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A6-42E5-A3C1-35F453C75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055552"/>
        <c:axId val="126057472"/>
      </c:scatterChart>
      <c:valAx>
        <c:axId val="126055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Time</a:t>
                </a:r>
                <a:r>
                  <a:rPr lang="en-CA" baseline="0"/>
                  <a:t> (h)</a:t>
                </a:r>
                <a:endParaRPr lang="en-CA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6057472"/>
        <c:crosses val="autoZero"/>
        <c:crossBetween val="midCat"/>
      </c:valAx>
      <c:valAx>
        <c:axId val="126057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Bacteria (x10</a:t>
                </a:r>
                <a:r>
                  <a:rPr lang="en-CA" baseline="30000"/>
                  <a:t>5</a:t>
                </a:r>
                <a:r>
                  <a:rPr lang="en-CA" baseline="0"/>
                  <a:t> ml</a:t>
                </a:r>
                <a:r>
                  <a:rPr lang="en-CA" baseline="30000"/>
                  <a:t>-1</a:t>
                </a:r>
                <a:r>
                  <a:rPr lang="en-CA" baseline="0"/>
                  <a:t>)</a:t>
                </a:r>
                <a:endParaRPr lang="en-CA"/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crossAx val="1260555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CA"/>
              <a:t>SB</a:t>
            </a:r>
          </a:p>
        </c:rich>
      </c:tx>
      <c:layout>
        <c:manualLayout>
          <c:xMode val="edge"/>
          <c:yMode val="edge"/>
          <c:x val="2.2666666666666658E-2"/>
          <c:y val="2.7777777777777776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PP!$M$28</c:f>
              <c:strCache>
                <c:ptCount val="1"/>
                <c:pt idx="0">
                  <c:v>SW+L</c:v>
                </c:pt>
              </c:strCache>
            </c:strRef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PP!$N$35:$Q$35</c:f>
                <c:numCache>
                  <c:formatCode>General</c:formatCode>
                  <c:ptCount val="4"/>
                  <c:pt idx="0">
                    <c:v>3.1028368794325059E-3</c:v>
                  </c:pt>
                  <c:pt idx="1">
                    <c:v>1.7730496453900756E-2</c:v>
                  </c:pt>
                  <c:pt idx="2">
                    <c:v>5.2915581705999741E-2</c:v>
                  </c:pt>
                  <c:pt idx="3">
                    <c:v>7.8436157307073082E-2</c:v>
                  </c:pt>
                </c:numCache>
              </c:numRef>
            </c:plus>
            <c:minus>
              <c:numRef>
                <c:f>PP!$N$35:$Q$35</c:f>
                <c:numCache>
                  <c:formatCode>General</c:formatCode>
                  <c:ptCount val="4"/>
                  <c:pt idx="0">
                    <c:v>3.1028368794325059E-3</c:v>
                  </c:pt>
                  <c:pt idx="1">
                    <c:v>1.7730496453900756E-2</c:v>
                  </c:pt>
                  <c:pt idx="2">
                    <c:v>5.2915581705999741E-2</c:v>
                  </c:pt>
                  <c:pt idx="3">
                    <c:v>7.8436157307073082E-2</c:v>
                  </c:pt>
                </c:numCache>
              </c:numRef>
            </c:minus>
          </c:errBars>
          <c:xVal>
            <c:numRef>
              <c:f>PP!$N$27:$Q$27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PP!$N$28:$Q$28</c:f>
              <c:numCache>
                <c:formatCode>0.00</c:formatCode>
                <c:ptCount val="4"/>
                <c:pt idx="0">
                  <c:v>1.74822695035461</c:v>
                </c:pt>
                <c:pt idx="1">
                  <c:v>1.6112588652482269</c:v>
                </c:pt>
                <c:pt idx="2">
                  <c:v>3.1684397163120566</c:v>
                </c:pt>
                <c:pt idx="3">
                  <c:v>3.8280141843971633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26-4F8E-B06A-C77919317549}"/>
            </c:ext>
          </c:extLst>
        </c:ser>
        <c:ser>
          <c:idx val="1"/>
          <c:order val="1"/>
          <c:tx>
            <c:strRef>
              <c:f>PP!$M$29</c:f>
              <c:strCache>
                <c:ptCount val="1"/>
                <c:pt idx="0">
                  <c:v>SW+N</c:v>
                </c:pt>
              </c:strCache>
            </c:strRef>
          </c:tx>
          <c:spPr>
            <a:ln w="285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PP!$N$36:$Q$36</c:f>
                <c:numCache>
                  <c:formatCode>General</c:formatCode>
                  <c:ptCount val="4"/>
                  <c:pt idx="0">
                    <c:v>9.7819487990753549E-3</c:v>
                  </c:pt>
                  <c:pt idx="1">
                    <c:v>6.538233260238073E-2</c:v>
                  </c:pt>
                  <c:pt idx="2">
                    <c:v>0.65636866413693484</c:v>
                  </c:pt>
                  <c:pt idx="3">
                    <c:v>0.81275290798288513</c:v>
                  </c:pt>
                </c:numCache>
              </c:numRef>
            </c:plus>
            <c:minus>
              <c:numRef>
                <c:f>PP!$N$36:$Q$36</c:f>
                <c:numCache>
                  <c:formatCode>General</c:formatCode>
                  <c:ptCount val="4"/>
                  <c:pt idx="0">
                    <c:v>9.7819487990753549E-3</c:v>
                  </c:pt>
                  <c:pt idx="1">
                    <c:v>6.538233260238073E-2</c:v>
                  </c:pt>
                  <c:pt idx="2">
                    <c:v>0.65636866413693484</c:v>
                  </c:pt>
                  <c:pt idx="3">
                    <c:v>0.81275290798288513</c:v>
                  </c:pt>
                </c:numCache>
              </c:numRef>
            </c:minus>
          </c:errBars>
          <c:xVal>
            <c:numRef>
              <c:f>PP!$N$27:$Q$27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PP!$N$29:$Q$29</c:f>
              <c:numCache>
                <c:formatCode>0.00</c:formatCode>
                <c:ptCount val="4"/>
                <c:pt idx="0">
                  <c:v>1.6285460992907801</c:v>
                </c:pt>
                <c:pt idx="1">
                  <c:v>1.5177304964539007</c:v>
                </c:pt>
                <c:pt idx="2">
                  <c:v>4.5146276595744679</c:v>
                </c:pt>
                <c:pt idx="3">
                  <c:v>5.4033687943262407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C26-4F8E-B06A-C77919317549}"/>
            </c:ext>
          </c:extLst>
        </c:ser>
        <c:ser>
          <c:idx val="2"/>
          <c:order val="2"/>
          <c:tx>
            <c:strRef>
              <c:f>PP!$M$30</c:f>
              <c:strCache>
                <c:ptCount val="1"/>
                <c:pt idx="0">
                  <c:v>SW</c:v>
                </c:pt>
              </c:strCache>
            </c:strRef>
          </c:tx>
          <c:spPr>
            <a:ln w="28575">
              <a:solidFill>
                <a:schemeClr val="tx1"/>
              </a:solidFill>
              <a:prstDash val="sys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PP!$N$37:$Q$37</c:f>
                <c:numCache>
                  <c:formatCode>General</c:formatCode>
                  <c:ptCount val="4"/>
                  <c:pt idx="0">
                    <c:v>8.3808251364833719E-2</c:v>
                  </c:pt>
                  <c:pt idx="1">
                    <c:v>1.2685361720970035E-2</c:v>
                  </c:pt>
                  <c:pt idx="2">
                    <c:v>0.49530305280352699</c:v>
                  </c:pt>
                  <c:pt idx="3">
                    <c:v>0.51517371656463762</c:v>
                  </c:pt>
                </c:numCache>
              </c:numRef>
            </c:plus>
            <c:minus>
              <c:numRef>
                <c:f>PP!$N$37:$Q$37</c:f>
                <c:numCache>
                  <c:formatCode>General</c:formatCode>
                  <c:ptCount val="4"/>
                  <c:pt idx="0">
                    <c:v>8.3808251364833719E-2</c:v>
                  </c:pt>
                  <c:pt idx="1">
                    <c:v>1.2685361720970035E-2</c:v>
                  </c:pt>
                  <c:pt idx="2">
                    <c:v>0.49530305280352699</c:v>
                  </c:pt>
                  <c:pt idx="3">
                    <c:v>0.51517371656463762</c:v>
                  </c:pt>
                </c:numCache>
              </c:numRef>
            </c:minus>
          </c:errBars>
          <c:xVal>
            <c:numRef>
              <c:f>PP!$N$27:$Q$27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PP!$N$30:$Q$30</c:f>
              <c:numCache>
                <c:formatCode>0.00</c:formatCode>
                <c:ptCount val="4"/>
                <c:pt idx="0">
                  <c:v>1.6582446808510636</c:v>
                </c:pt>
                <c:pt idx="1">
                  <c:v>1.4335106382978724</c:v>
                </c:pt>
                <c:pt idx="2">
                  <c:v>2.4920212765957448</c:v>
                </c:pt>
                <c:pt idx="3">
                  <c:v>3.0412234042553195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C26-4F8E-B06A-C779193175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742272"/>
        <c:axId val="124752640"/>
      </c:scatterChart>
      <c:valAx>
        <c:axId val="1247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Time (h)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4752640"/>
        <c:crosses val="autoZero"/>
        <c:crossBetween val="midCat"/>
      </c:valAx>
      <c:valAx>
        <c:axId val="1247526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Picophtyoplankton (x10</a:t>
                </a:r>
                <a:r>
                  <a:rPr lang="en-CA" baseline="30000"/>
                  <a:t>4</a:t>
                </a:r>
                <a:r>
                  <a:rPr lang="en-CA" baseline="0"/>
                  <a:t> ml</a:t>
                </a:r>
                <a:r>
                  <a:rPr lang="en-CA" baseline="30000"/>
                  <a:t>-1</a:t>
                </a:r>
                <a:r>
                  <a:rPr lang="en-CA" baseline="0"/>
                  <a:t>)</a:t>
                </a:r>
                <a:endParaRPr lang="en-CA"/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crossAx val="1247422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CA"/>
              <a:t>JP</a:t>
            </a:r>
          </a:p>
        </c:rich>
      </c:tx>
      <c:layout>
        <c:manualLayout>
          <c:xMode val="edge"/>
          <c:yMode val="edge"/>
          <c:x val="2.2666666666666658E-2"/>
          <c:y val="2.7777777777777776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PP!$M$31</c:f>
              <c:strCache>
                <c:ptCount val="1"/>
                <c:pt idx="0">
                  <c:v>SW+L</c:v>
                </c:pt>
              </c:strCache>
            </c:strRef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PP!$N$38:$Q$38</c:f>
                <c:numCache>
                  <c:formatCode>General</c:formatCode>
                  <c:ptCount val="4"/>
                  <c:pt idx="0">
                    <c:v>7.9969256516661244E-2</c:v>
                  </c:pt>
                  <c:pt idx="1">
                    <c:v>0.15343987919323585</c:v>
                  </c:pt>
                  <c:pt idx="2">
                    <c:v>0.55358985588139364</c:v>
                  </c:pt>
                  <c:pt idx="3">
                    <c:v>0.78271619999102049</c:v>
                  </c:pt>
                </c:numCache>
              </c:numRef>
            </c:plus>
            <c:minus>
              <c:numRef>
                <c:f>PP!$N$38:$Q$38</c:f>
                <c:numCache>
                  <c:formatCode>General</c:formatCode>
                  <c:ptCount val="4"/>
                  <c:pt idx="0">
                    <c:v>7.9969256516661244E-2</c:v>
                  </c:pt>
                  <c:pt idx="1">
                    <c:v>0.15343987919323585</c:v>
                  </c:pt>
                  <c:pt idx="2">
                    <c:v>0.55358985588139364</c:v>
                  </c:pt>
                  <c:pt idx="3">
                    <c:v>0.78271619999102049</c:v>
                  </c:pt>
                </c:numCache>
              </c:numRef>
            </c:minus>
          </c:errBars>
          <c:xVal>
            <c:numRef>
              <c:f>PP!$N$27:$Q$27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PP!$N$31:$Q$31</c:f>
              <c:numCache>
                <c:formatCode>0.00</c:formatCode>
                <c:ptCount val="4"/>
                <c:pt idx="0">
                  <c:v>1.8891843971631206</c:v>
                </c:pt>
                <c:pt idx="1">
                  <c:v>1.9725177304964536</c:v>
                </c:pt>
                <c:pt idx="2">
                  <c:v>2.5119680851063833</c:v>
                </c:pt>
                <c:pt idx="3">
                  <c:v>2.8869680851063833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9D-40BE-9284-E7168473D05A}"/>
            </c:ext>
          </c:extLst>
        </c:ser>
        <c:ser>
          <c:idx val="1"/>
          <c:order val="1"/>
          <c:tx>
            <c:strRef>
              <c:f>PP!$M$32</c:f>
              <c:strCache>
                <c:ptCount val="1"/>
                <c:pt idx="0">
                  <c:v>SW+N</c:v>
                </c:pt>
              </c:strCache>
            </c:strRef>
          </c:tx>
          <c:spPr>
            <a:ln w="285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PP!$N$39:$Q$39</c:f>
                <c:numCache>
                  <c:formatCode>General</c:formatCode>
                  <c:ptCount val="4"/>
                  <c:pt idx="0">
                    <c:v>4.4012631737115414E-2</c:v>
                  </c:pt>
                  <c:pt idx="1">
                    <c:v>0.12399706420107851</c:v>
                  </c:pt>
                  <c:pt idx="2">
                    <c:v>0.20311723127262529</c:v>
                  </c:pt>
                  <c:pt idx="3">
                    <c:v>0.39307854836386613</c:v>
                  </c:pt>
                </c:numCache>
              </c:numRef>
            </c:plus>
            <c:minus>
              <c:numRef>
                <c:f>PP!$N$39:$Q$39</c:f>
                <c:numCache>
                  <c:formatCode>General</c:formatCode>
                  <c:ptCount val="4"/>
                  <c:pt idx="0">
                    <c:v>4.4012631737115414E-2</c:v>
                  </c:pt>
                  <c:pt idx="1">
                    <c:v>0.12399706420107851</c:v>
                  </c:pt>
                  <c:pt idx="2">
                    <c:v>0.20311723127262529</c:v>
                  </c:pt>
                  <c:pt idx="3">
                    <c:v>0.39307854836386613</c:v>
                  </c:pt>
                </c:numCache>
              </c:numRef>
            </c:minus>
          </c:errBars>
          <c:xVal>
            <c:numRef>
              <c:f>PP!$N$27:$Q$27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PP!$N$32:$Q$32</c:f>
              <c:numCache>
                <c:formatCode>0.00</c:formatCode>
                <c:ptCount val="4"/>
                <c:pt idx="0">
                  <c:v>1.9024822695035459</c:v>
                </c:pt>
                <c:pt idx="1">
                  <c:v>1.8266843971631204</c:v>
                </c:pt>
                <c:pt idx="2">
                  <c:v>1.7734929078014183</c:v>
                </c:pt>
                <c:pt idx="3">
                  <c:v>1.675975177304964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9D-40BE-9284-E7168473D05A}"/>
            </c:ext>
          </c:extLst>
        </c:ser>
        <c:ser>
          <c:idx val="2"/>
          <c:order val="2"/>
          <c:tx>
            <c:strRef>
              <c:f>PP!$M$33</c:f>
              <c:strCache>
                <c:ptCount val="1"/>
                <c:pt idx="0">
                  <c:v>SW</c:v>
                </c:pt>
              </c:strCache>
            </c:strRef>
          </c:tx>
          <c:spPr>
            <a:ln w="28575">
              <a:solidFill>
                <a:schemeClr val="tx1"/>
              </a:solidFill>
              <a:prstDash val="sys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PP!$N$40:$Q$40</c:f>
                <c:numCache>
                  <c:formatCode>General</c:formatCode>
                  <c:ptCount val="4"/>
                  <c:pt idx="0">
                    <c:v>7.795749673197222E-2</c:v>
                  </c:pt>
                  <c:pt idx="1">
                    <c:v>8.8541597320204724E-3</c:v>
                  </c:pt>
                  <c:pt idx="2">
                    <c:v>7.9499827115806249E-2</c:v>
                  </c:pt>
                  <c:pt idx="3">
                    <c:v>4.8793105321398474E-2</c:v>
                  </c:pt>
                </c:numCache>
              </c:numRef>
            </c:plus>
            <c:minus>
              <c:numRef>
                <c:f>PP!$N$40:$Q$40</c:f>
                <c:numCache>
                  <c:formatCode>General</c:formatCode>
                  <c:ptCount val="4"/>
                  <c:pt idx="0">
                    <c:v>7.795749673197222E-2</c:v>
                  </c:pt>
                  <c:pt idx="1">
                    <c:v>8.8541597320204724E-3</c:v>
                  </c:pt>
                  <c:pt idx="2">
                    <c:v>7.9499827115806249E-2</c:v>
                  </c:pt>
                  <c:pt idx="3">
                    <c:v>4.8793105321398474E-2</c:v>
                  </c:pt>
                </c:numCache>
              </c:numRef>
            </c:minus>
          </c:errBars>
          <c:xVal>
            <c:numRef>
              <c:f>PP!$N$27:$Q$27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PP!$N$33:$Q$33</c:f>
              <c:numCache>
                <c:formatCode>0.00</c:formatCode>
                <c:ptCount val="4"/>
                <c:pt idx="0">
                  <c:v>1.87677304964539</c:v>
                </c:pt>
                <c:pt idx="1">
                  <c:v>1.9401595744680851</c:v>
                </c:pt>
                <c:pt idx="2">
                  <c:v>1.926418439716312</c:v>
                </c:pt>
                <c:pt idx="3">
                  <c:v>1.8045212765957446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9D-40BE-9284-E7168473D0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657088"/>
        <c:axId val="125659008"/>
      </c:scatterChart>
      <c:valAx>
        <c:axId val="12565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Time (h)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5659008"/>
        <c:crosses val="autoZero"/>
        <c:crossBetween val="midCat"/>
      </c:valAx>
      <c:valAx>
        <c:axId val="1256590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Picophytoplankton (x10</a:t>
                </a:r>
                <a:r>
                  <a:rPr lang="en-CA" baseline="30000"/>
                  <a:t>4</a:t>
                </a:r>
                <a:r>
                  <a:rPr lang="en-CA" baseline="0"/>
                  <a:t> ml</a:t>
                </a:r>
                <a:r>
                  <a:rPr lang="en-CA" baseline="30000"/>
                  <a:t>-1</a:t>
                </a:r>
                <a:r>
                  <a:rPr lang="en-CA" baseline="0"/>
                  <a:t>)</a:t>
                </a:r>
                <a:endParaRPr lang="en-CA"/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crossAx val="125657088"/>
        <c:crosses val="autoZero"/>
        <c:crossBetween val="midCat"/>
        <c:majorUnit val="1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SB - Virus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Virus!$P$9</c:f>
              <c:strCache>
                <c:ptCount val="1"/>
                <c:pt idx="0">
                  <c:v>1a</c:v>
                </c:pt>
              </c:strCache>
            </c:strRef>
          </c:tx>
          <c:spPr>
            <a:ln w="28575">
              <a:noFill/>
            </a:ln>
          </c:spPr>
          <c:xVal>
            <c:numRef>
              <c:f>Virus!$Q$8:$T$8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Virus!$Q$9:$T$9</c:f>
              <c:numCache>
                <c:formatCode>0.00</c:formatCode>
                <c:ptCount val="4"/>
                <c:pt idx="0">
                  <c:v>73.0806142034549</c:v>
                </c:pt>
                <c:pt idx="1">
                  <c:v>99.309021113243759</c:v>
                </c:pt>
                <c:pt idx="2">
                  <c:v>80.134357005758147</c:v>
                </c:pt>
                <c:pt idx="3">
                  <c:v>90.366602687140102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1A-4DF4-B66C-1DBA350B4B1F}"/>
            </c:ext>
          </c:extLst>
        </c:ser>
        <c:ser>
          <c:idx val="1"/>
          <c:order val="1"/>
          <c:tx>
            <c:strRef>
              <c:f>Virus!$P$10</c:f>
              <c:strCache>
                <c:ptCount val="1"/>
                <c:pt idx="0">
                  <c:v>1b</c:v>
                </c:pt>
              </c:strCache>
            </c:strRef>
          </c:tx>
          <c:spPr>
            <a:ln w="28575">
              <a:noFill/>
            </a:ln>
          </c:spPr>
          <c:xVal>
            <c:numRef>
              <c:f>Virus!$Q$8:$T$8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Virus!$Q$10:$T$10</c:f>
              <c:numCache>
                <c:formatCode>0.00</c:formatCode>
                <c:ptCount val="4"/>
                <c:pt idx="0">
                  <c:v>74.575815738963527</c:v>
                </c:pt>
                <c:pt idx="1">
                  <c:v>79.48176583493283</c:v>
                </c:pt>
                <c:pt idx="2">
                  <c:v>80.211132437619966</c:v>
                </c:pt>
                <c:pt idx="3">
                  <c:v>90.623800383877153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1A-4DF4-B66C-1DBA350B4B1F}"/>
            </c:ext>
          </c:extLst>
        </c:ser>
        <c:ser>
          <c:idx val="2"/>
          <c:order val="2"/>
          <c:tx>
            <c:strRef>
              <c:f>Virus!$P$11</c:f>
              <c:strCache>
                <c:ptCount val="1"/>
                <c:pt idx="0">
                  <c:v>1c</c:v>
                </c:pt>
              </c:strCache>
            </c:strRef>
          </c:tx>
          <c:spPr>
            <a:ln w="28575">
              <a:noFill/>
            </a:ln>
          </c:spPr>
          <c:xVal>
            <c:numRef>
              <c:f>Virus!$Q$8:$T$8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Virus!$Q$11:$T$11</c:f>
              <c:numCache>
                <c:formatCode>0.00</c:formatCode>
                <c:ptCount val="4"/>
                <c:pt idx="0">
                  <c:v>73.401151631477916</c:v>
                </c:pt>
                <c:pt idx="1">
                  <c:v>78.426103646833013</c:v>
                </c:pt>
                <c:pt idx="2">
                  <c:v>80.671785028790794</c:v>
                </c:pt>
                <c:pt idx="3">
                  <c:v>89.35892514395394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61A-4DF4-B66C-1DBA350B4B1F}"/>
            </c:ext>
          </c:extLst>
        </c:ser>
        <c:ser>
          <c:idx val="3"/>
          <c:order val="3"/>
          <c:tx>
            <c:strRef>
              <c:f>Virus!$P$12</c:f>
              <c:strCache>
                <c:ptCount val="1"/>
                <c:pt idx="0">
                  <c:v>2a</c:v>
                </c:pt>
              </c:strCache>
            </c:strRef>
          </c:tx>
          <c:spPr>
            <a:ln w="28575">
              <a:noFill/>
            </a:ln>
          </c:spPr>
          <c:xVal>
            <c:numRef>
              <c:f>Virus!$Q$8:$T$8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Virus!$Q$12:$T$12</c:f>
              <c:numCache>
                <c:formatCode>0.00</c:formatCode>
                <c:ptCount val="4"/>
                <c:pt idx="0">
                  <c:v>74.59692898272553</c:v>
                </c:pt>
                <c:pt idx="1">
                  <c:v>69.015355086372367</c:v>
                </c:pt>
                <c:pt idx="2">
                  <c:v>71.52207293666028</c:v>
                </c:pt>
                <c:pt idx="3">
                  <c:v>75.199616122840681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61A-4DF4-B66C-1DBA350B4B1F}"/>
            </c:ext>
          </c:extLst>
        </c:ser>
        <c:ser>
          <c:idx val="4"/>
          <c:order val="4"/>
          <c:tx>
            <c:strRef>
              <c:f>Virus!$P$13</c:f>
              <c:strCache>
                <c:ptCount val="1"/>
                <c:pt idx="0">
                  <c:v>2b</c:v>
                </c:pt>
              </c:strCache>
            </c:strRef>
          </c:tx>
          <c:spPr>
            <a:ln w="28575">
              <a:noFill/>
            </a:ln>
          </c:spPr>
          <c:xVal>
            <c:numRef>
              <c:f>Virus!$Q$8:$T$8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Virus!$Q$13:$T$13</c:f>
              <c:numCache>
                <c:formatCode>0.00</c:formatCode>
                <c:ptCount val="4"/>
                <c:pt idx="0">
                  <c:v>65.383877159309023</c:v>
                </c:pt>
                <c:pt idx="1">
                  <c:v>71.944337811900184</c:v>
                </c:pt>
                <c:pt idx="2">
                  <c:v>72.648752399232251</c:v>
                </c:pt>
                <c:pt idx="3">
                  <c:v>75.648752399232251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61A-4DF4-B66C-1DBA350B4B1F}"/>
            </c:ext>
          </c:extLst>
        </c:ser>
        <c:ser>
          <c:idx val="5"/>
          <c:order val="5"/>
          <c:tx>
            <c:strRef>
              <c:f>Virus!$P$14</c:f>
              <c:strCache>
                <c:ptCount val="1"/>
                <c:pt idx="0">
                  <c:v>2c</c:v>
                </c:pt>
              </c:strCache>
            </c:strRef>
          </c:tx>
          <c:spPr>
            <a:ln w="28575">
              <a:noFill/>
            </a:ln>
          </c:spPr>
          <c:xVal>
            <c:numRef>
              <c:f>Virus!$Q$8:$T$8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Virus!$Q$14:$T$14</c:f>
              <c:numCache>
                <c:formatCode>0.00</c:formatCode>
                <c:ptCount val="4"/>
                <c:pt idx="0">
                  <c:v>69.404990403071011</c:v>
                </c:pt>
                <c:pt idx="1">
                  <c:v>67.756238003838774</c:v>
                </c:pt>
                <c:pt idx="2">
                  <c:v>76.702495201535513</c:v>
                </c:pt>
                <c:pt idx="3">
                  <c:v>82.216890595009602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61A-4DF4-B66C-1DBA350B4B1F}"/>
            </c:ext>
          </c:extLst>
        </c:ser>
        <c:ser>
          <c:idx val="6"/>
          <c:order val="6"/>
          <c:tx>
            <c:strRef>
              <c:f>Virus!$P$15</c:f>
              <c:strCache>
                <c:ptCount val="1"/>
                <c:pt idx="0">
                  <c:v>3a</c:v>
                </c:pt>
              </c:strCache>
            </c:strRef>
          </c:tx>
          <c:spPr>
            <a:ln w="28575">
              <a:noFill/>
            </a:ln>
          </c:spPr>
          <c:xVal>
            <c:numRef>
              <c:f>Virus!$Q$8:$T$8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Virus!$Q$15:$T$15</c:f>
              <c:numCache>
                <c:formatCode>0.00</c:formatCode>
                <c:ptCount val="4"/>
                <c:pt idx="0">
                  <c:v>58.610364683301334</c:v>
                </c:pt>
                <c:pt idx="1">
                  <c:v>66.143953934740878</c:v>
                </c:pt>
                <c:pt idx="2">
                  <c:v>74.87715930902111</c:v>
                </c:pt>
                <c:pt idx="3">
                  <c:v>76.241842610364685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61A-4DF4-B66C-1DBA350B4B1F}"/>
            </c:ext>
          </c:extLst>
        </c:ser>
        <c:ser>
          <c:idx val="7"/>
          <c:order val="7"/>
          <c:tx>
            <c:strRef>
              <c:f>Virus!$P$16</c:f>
              <c:strCache>
                <c:ptCount val="1"/>
                <c:pt idx="0">
                  <c:v>3b</c:v>
                </c:pt>
              </c:strCache>
            </c:strRef>
          </c:tx>
          <c:spPr>
            <a:ln w="28575">
              <a:noFill/>
            </a:ln>
          </c:spPr>
          <c:xVal>
            <c:numRef>
              <c:f>Virus!$Q$8:$T$8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Virus!$Q$16:$T$16</c:f>
              <c:numCache>
                <c:formatCode>0.00</c:formatCode>
                <c:ptCount val="4"/>
                <c:pt idx="0">
                  <c:v>65.516314779270644</c:v>
                </c:pt>
                <c:pt idx="1">
                  <c:v>66.284069097888676</c:v>
                </c:pt>
                <c:pt idx="2">
                  <c:v>73.689059500959701</c:v>
                </c:pt>
                <c:pt idx="3">
                  <c:v>76.888675623800381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61A-4DF4-B66C-1DBA350B4B1F}"/>
            </c:ext>
          </c:extLst>
        </c:ser>
        <c:ser>
          <c:idx val="8"/>
          <c:order val="8"/>
          <c:tx>
            <c:strRef>
              <c:f>Virus!$P$17</c:f>
              <c:strCache>
                <c:ptCount val="1"/>
                <c:pt idx="0">
                  <c:v>3c</c:v>
                </c:pt>
              </c:strCache>
            </c:strRef>
          </c:tx>
          <c:spPr>
            <a:ln w="28575">
              <a:noFill/>
            </a:ln>
          </c:spPr>
          <c:xVal>
            <c:numRef>
              <c:f>Virus!$Q$8:$T$8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Virus!$Q$17:$T$17</c:f>
              <c:numCache>
                <c:formatCode>0.00</c:formatCode>
                <c:ptCount val="4"/>
                <c:pt idx="0">
                  <c:v>65.134357005758147</c:v>
                </c:pt>
                <c:pt idx="1">
                  <c:v>67.180422264875233</c:v>
                </c:pt>
                <c:pt idx="2">
                  <c:v>75.934740882917467</c:v>
                </c:pt>
                <c:pt idx="3">
                  <c:v>78.562380038387715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61A-4DF4-B66C-1DBA350B4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568128"/>
        <c:axId val="125570048"/>
      </c:scatterChart>
      <c:valAx>
        <c:axId val="125568128"/>
        <c:scaling>
          <c:orientation val="minMax"/>
        </c:scaling>
        <c:delete val="0"/>
        <c:axPos val="b"/>
        <c:title>
          <c:overlay val="0"/>
        </c:title>
        <c:numFmt formatCode="General" sourceLinked="1"/>
        <c:majorTickMark val="none"/>
        <c:minorTickMark val="none"/>
        <c:tickLblPos val="nextTo"/>
        <c:crossAx val="125570048"/>
        <c:crosses val="autoZero"/>
        <c:crossBetween val="midCat"/>
      </c:valAx>
      <c:valAx>
        <c:axId val="125570048"/>
        <c:scaling>
          <c:orientation val="minMax"/>
        </c:scaling>
        <c:delete val="0"/>
        <c:axPos val="l"/>
        <c:title>
          <c:overlay val="0"/>
        </c:title>
        <c:numFmt formatCode="0.00" sourceLinked="1"/>
        <c:majorTickMark val="none"/>
        <c:minorTickMark val="none"/>
        <c:tickLblPos val="nextTo"/>
        <c:crossAx val="1255681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JP</a:t>
            </a:r>
            <a:r>
              <a:rPr lang="en-CA" baseline="0"/>
              <a:t> - Virus</a:t>
            </a:r>
            <a:endParaRPr lang="en-CA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Virus!$P$20</c:f>
              <c:strCache>
                <c:ptCount val="1"/>
                <c:pt idx="0">
                  <c:v>4a</c:v>
                </c:pt>
              </c:strCache>
            </c:strRef>
          </c:tx>
          <c:spPr>
            <a:ln w="28575">
              <a:noFill/>
            </a:ln>
          </c:spPr>
          <c:xVal>
            <c:numRef>
              <c:f>Virus!$Q$19:$T$19</c:f>
              <c:numCache>
                <c:formatCode>0.00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Virus!$Q$20:$T$20</c:f>
              <c:numCache>
                <c:formatCode>0.00</c:formatCode>
                <c:ptCount val="4"/>
                <c:pt idx="0">
                  <c:v>33.666026871401151</c:v>
                </c:pt>
                <c:pt idx="1">
                  <c:v>35.335892514395397</c:v>
                </c:pt>
                <c:pt idx="2">
                  <c:v>36.763915547024951</c:v>
                </c:pt>
                <c:pt idx="3">
                  <c:v>41.961612284069098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54-46EC-9F77-D1AD0CAAB535}"/>
            </c:ext>
          </c:extLst>
        </c:ser>
        <c:ser>
          <c:idx val="1"/>
          <c:order val="1"/>
          <c:tx>
            <c:strRef>
              <c:f>Virus!$P$21</c:f>
              <c:strCache>
                <c:ptCount val="1"/>
                <c:pt idx="0">
                  <c:v>4b</c:v>
                </c:pt>
              </c:strCache>
            </c:strRef>
          </c:tx>
          <c:spPr>
            <a:ln w="28575">
              <a:noFill/>
            </a:ln>
          </c:spPr>
          <c:xVal>
            <c:numRef>
              <c:f>Virus!$Q$19:$T$19</c:f>
              <c:numCache>
                <c:formatCode>0.00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Virus!$Q$21:$T$21</c:f>
              <c:numCache>
                <c:formatCode>0.00</c:formatCode>
                <c:ptCount val="4"/>
                <c:pt idx="0">
                  <c:v>32.061420345489445</c:v>
                </c:pt>
                <c:pt idx="1">
                  <c:v>32.629558541266789</c:v>
                </c:pt>
                <c:pt idx="2">
                  <c:v>39.533589251439544</c:v>
                </c:pt>
                <c:pt idx="3">
                  <c:v>43.809980806142029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E54-46EC-9F77-D1AD0CAAB535}"/>
            </c:ext>
          </c:extLst>
        </c:ser>
        <c:ser>
          <c:idx val="2"/>
          <c:order val="2"/>
          <c:tx>
            <c:strRef>
              <c:f>Virus!$P$22</c:f>
              <c:strCache>
                <c:ptCount val="1"/>
                <c:pt idx="0">
                  <c:v>4c</c:v>
                </c:pt>
              </c:strCache>
            </c:strRef>
          </c:tx>
          <c:spPr>
            <a:ln w="28575">
              <a:noFill/>
            </a:ln>
          </c:spPr>
          <c:xVal>
            <c:numRef>
              <c:f>Virus!$Q$19:$T$19</c:f>
              <c:numCache>
                <c:formatCode>0.00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Virus!$Q$22:$T$22</c:f>
              <c:numCache>
                <c:formatCode>0.00</c:formatCode>
                <c:ptCount val="4"/>
                <c:pt idx="0">
                  <c:v>33.660268714011522</c:v>
                </c:pt>
                <c:pt idx="1">
                  <c:v>30.345489443378121</c:v>
                </c:pt>
                <c:pt idx="2">
                  <c:v>36.406909788867566</c:v>
                </c:pt>
                <c:pt idx="3">
                  <c:v>43.380038387715935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E54-46EC-9F77-D1AD0CAAB535}"/>
            </c:ext>
          </c:extLst>
        </c:ser>
        <c:ser>
          <c:idx val="3"/>
          <c:order val="3"/>
          <c:tx>
            <c:strRef>
              <c:f>Virus!$P$23</c:f>
              <c:strCache>
                <c:ptCount val="1"/>
                <c:pt idx="0">
                  <c:v>5a</c:v>
                </c:pt>
              </c:strCache>
            </c:strRef>
          </c:tx>
          <c:spPr>
            <a:ln w="28575">
              <a:noFill/>
            </a:ln>
          </c:spPr>
          <c:xVal>
            <c:numRef>
              <c:f>Virus!$Q$19:$T$19</c:f>
              <c:numCache>
                <c:formatCode>0.00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Virus!$Q$23:$T$23</c:f>
              <c:numCache>
                <c:formatCode>0.00</c:formatCode>
                <c:ptCount val="4"/>
                <c:pt idx="0">
                  <c:v>27.932821497120923</c:v>
                </c:pt>
                <c:pt idx="1">
                  <c:v>30.095969289827252</c:v>
                </c:pt>
                <c:pt idx="2">
                  <c:v>35.138195777351243</c:v>
                </c:pt>
                <c:pt idx="3">
                  <c:v>32.896353166986565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E54-46EC-9F77-D1AD0CAAB535}"/>
            </c:ext>
          </c:extLst>
        </c:ser>
        <c:ser>
          <c:idx val="4"/>
          <c:order val="4"/>
          <c:tx>
            <c:strRef>
              <c:f>Virus!$P$24</c:f>
              <c:strCache>
                <c:ptCount val="1"/>
                <c:pt idx="0">
                  <c:v>5b</c:v>
                </c:pt>
              </c:strCache>
            </c:strRef>
          </c:tx>
          <c:spPr>
            <a:ln w="28575">
              <a:noFill/>
            </a:ln>
          </c:spPr>
          <c:xVal>
            <c:numRef>
              <c:f>Virus!$Q$19:$T$19</c:f>
              <c:numCache>
                <c:formatCode>0.00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Virus!$Q$24:$T$24</c:f>
              <c:numCache>
                <c:formatCode>0.00</c:formatCode>
                <c:ptCount val="4"/>
                <c:pt idx="0">
                  <c:v>26.723608445297501</c:v>
                </c:pt>
                <c:pt idx="1">
                  <c:v>30.715930902111324</c:v>
                </c:pt>
                <c:pt idx="2">
                  <c:v>33.562380038387715</c:v>
                </c:pt>
                <c:pt idx="3">
                  <c:v>36.669865642994239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E54-46EC-9F77-D1AD0CAAB535}"/>
            </c:ext>
          </c:extLst>
        </c:ser>
        <c:ser>
          <c:idx val="5"/>
          <c:order val="5"/>
          <c:tx>
            <c:strRef>
              <c:f>Virus!$P$25</c:f>
              <c:strCache>
                <c:ptCount val="1"/>
                <c:pt idx="0">
                  <c:v>5c</c:v>
                </c:pt>
              </c:strCache>
            </c:strRef>
          </c:tx>
          <c:spPr>
            <a:ln w="28575">
              <a:noFill/>
            </a:ln>
          </c:spPr>
          <c:xVal>
            <c:numRef>
              <c:f>Virus!$Q$19:$T$19</c:f>
              <c:numCache>
                <c:formatCode>0.00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Virus!$Q$25:$T$25</c:f>
              <c:numCache>
                <c:formatCode>0.00</c:formatCode>
                <c:ptCount val="4"/>
                <c:pt idx="0">
                  <c:v>32.017274472168907</c:v>
                </c:pt>
                <c:pt idx="1">
                  <c:v>29.619961612284069</c:v>
                </c:pt>
                <c:pt idx="2">
                  <c:v>30.577735124760075</c:v>
                </c:pt>
                <c:pt idx="3">
                  <c:v>36.474088291746639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E54-46EC-9F77-D1AD0CAAB535}"/>
            </c:ext>
          </c:extLst>
        </c:ser>
        <c:ser>
          <c:idx val="6"/>
          <c:order val="6"/>
          <c:tx>
            <c:strRef>
              <c:f>Virus!$P$26</c:f>
              <c:strCache>
                <c:ptCount val="1"/>
                <c:pt idx="0">
                  <c:v>6a</c:v>
                </c:pt>
              </c:strCache>
            </c:strRef>
          </c:tx>
          <c:spPr>
            <a:ln w="28575">
              <a:noFill/>
            </a:ln>
          </c:spPr>
          <c:xVal>
            <c:numRef>
              <c:f>Virus!$Q$19:$T$19</c:f>
              <c:numCache>
                <c:formatCode>0.00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Virus!$Q$26:$T$26</c:f>
              <c:numCache>
                <c:formatCode>0.00</c:formatCode>
                <c:ptCount val="4"/>
                <c:pt idx="0">
                  <c:v>27.257197696737045</c:v>
                </c:pt>
                <c:pt idx="1">
                  <c:v>28.604606525911702</c:v>
                </c:pt>
                <c:pt idx="2">
                  <c:v>33.155470249520157</c:v>
                </c:pt>
                <c:pt idx="3">
                  <c:v>35.539347408829173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E54-46EC-9F77-D1AD0CAAB535}"/>
            </c:ext>
          </c:extLst>
        </c:ser>
        <c:ser>
          <c:idx val="7"/>
          <c:order val="7"/>
          <c:tx>
            <c:strRef>
              <c:f>Virus!$P$27</c:f>
              <c:strCache>
                <c:ptCount val="1"/>
                <c:pt idx="0">
                  <c:v>6b</c:v>
                </c:pt>
              </c:strCache>
            </c:strRef>
          </c:tx>
          <c:spPr>
            <a:ln w="28575">
              <a:noFill/>
            </a:ln>
          </c:spPr>
          <c:xVal>
            <c:numRef>
              <c:f>Virus!$Q$19:$T$19</c:f>
              <c:numCache>
                <c:formatCode>0.00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Virus!$Q$27:$T$27</c:f>
              <c:numCache>
                <c:formatCode>0.00</c:formatCode>
                <c:ptCount val="4"/>
                <c:pt idx="0">
                  <c:v>28.228406909788866</c:v>
                </c:pt>
                <c:pt idx="1">
                  <c:v>28.973128598848369</c:v>
                </c:pt>
                <c:pt idx="2">
                  <c:v>32.992322456813817</c:v>
                </c:pt>
                <c:pt idx="3">
                  <c:v>34.072936660268716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E54-46EC-9F77-D1AD0CAAB535}"/>
            </c:ext>
          </c:extLst>
        </c:ser>
        <c:ser>
          <c:idx val="8"/>
          <c:order val="8"/>
          <c:tx>
            <c:strRef>
              <c:f>Virus!$P$28</c:f>
              <c:strCache>
                <c:ptCount val="1"/>
                <c:pt idx="0">
                  <c:v>6c</c:v>
                </c:pt>
              </c:strCache>
            </c:strRef>
          </c:tx>
          <c:spPr>
            <a:ln w="28575">
              <a:noFill/>
            </a:ln>
          </c:spPr>
          <c:xVal>
            <c:numRef>
              <c:f>Virus!$Q$19:$T$19</c:f>
              <c:numCache>
                <c:formatCode>0.00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Virus!$Q$28:$T$28</c:f>
              <c:numCache>
                <c:formatCode>0.00</c:formatCode>
                <c:ptCount val="4"/>
                <c:pt idx="0">
                  <c:v>27.343570057581573</c:v>
                </c:pt>
                <c:pt idx="1">
                  <c:v>30.761996161228407</c:v>
                </c:pt>
                <c:pt idx="2">
                  <c:v>31.627639155470249</c:v>
                </c:pt>
                <c:pt idx="3">
                  <c:v>33.81957773512476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E54-46EC-9F77-D1AD0CAAB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630336"/>
        <c:axId val="125673472"/>
      </c:scatterChart>
      <c:valAx>
        <c:axId val="125630336"/>
        <c:scaling>
          <c:orientation val="minMax"/>
        </c:scaling>
        <c:delete val="0"/>
        <c:axPos val="b"/>
        <c:title>
          <c:overlay val="0"/>
        </c:title>
        <c:numFmt formatCode="0.00" sourceLinked="1"/>
        <c:majorTickMark val="none"/>
        <c:minorTickMark val="none"/>
        <c:tickLblPos val="nextTo"/>
        <c:crossAx val="125673472"/>
        <c:crosses val="autoZero"/>
        <c:crossBetween val="midCat"/>
      </c:valAx>
      <c:valAx>
        <c:axId val="125673472"/>
        <c:scaling>
          <c:orientation val="minMax"/>
        </c:scaling>
        <c:delete val="0"/>
        <c:axPos val="l"/>
        <c:title>
          <c:overlay val="0"/>
        </c:title>
        <c:numFmt formatCode="0.00" sourceLinked="1"/>
        <c:majorTickMark val="none"/>
        <c:minorTickMark val="none"/>
        <c:tickLblPos val="nextTo"/>
        <c:crossAx val="1256303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'N-15'!$AB$34:$AB$37</c:f>
                <c:numCache>
                  <c:formatCode>General</c:formatCode>
                  <c:ptCount val="4"/>
                  <c:pt idx="0">
                    <c:v>1.1848768258830588E-2</c:v>
                  </c:pt>
                  <c:pt idx="1">
                    <c:v>0.10508625771598896</c:v>
                  </c:pt>
                  <c:pt idx="2">
                    <c:v>5.6742450201549124E-2</c:v>
                  </c:pt>
                  <c:pt idx="3">
                    <c:v>0.13356521619477596</c:v>
                  </c:pt>
                </c:numCache>
              </c:numRef>
            </c:plus>
            <c:minus>
              <c:numRef>
                <c:f>'N-15'!$AB$34:$AB$37</c:f>
                <c:numCache>
                  <c:formatCode>General</c:formatCode>
                  <c:ptCount val="4"/>
                  <c:pt idx="0">
                    <c:v>1.1848768258830588E-2</c:v>
                  </c:pt>
                  <c:pt idx="1">
                    <c:v>0.10508625771598896</c:v>
                  </c:pt>
                  <c:pt idx="2">
                    <c:v>5.6742450201549124E-2</c:v>
                  </c:pt>
                  <c:pt idx="3">
                    <c:v>0.13356521619477596</c:v>
                  </c:pt>
                </c:numCache>
              </c:numRef>
            </c:minus>
          </c:errBars>
          <c:cat>
            <c:multiLvlStrRef>
              <c:f>'N-15'!$Y$34:$Z$37</c:f>
              <c:multiLvlStrCache>
                <c:ptCount val="4"/>
                <c:lvl>
                  <c:pt idx="0">
                    <c:v>SW+L</c:v>
                  </c:pt>
                  <c:pt idx="1">
                    <c:v>SW+N</c:v>
                  </c:pt>
                  <c:pt idx="2">
                    <c:v>SW+L</c:v>
                  </c:pt>
                  <c:pt idx="3">
                    <c:v>SW+N</c:v>
                  </c:pt>
                </c:lvl>
                <c:lvl>
                  <c:pt idx="0">
                    <c:v>SB</c:v>
                  </c:pt>
                  <c:pt idx="2">
                    <c:v>JP</c:v>
                  </c:pt>
                </c:lvl>
              </c:multiLvlStrCache>
            </c:multiLvlStrRef>
          </c:cat>
          <c:val>
            <c:numRef>
              <c:f>'N-15'!$AA$34:$AA$37</c:f>
              <c:numCache>
                <c:formatCode>0.000</c:formatCode>
                <c:ptCount val="4"/>
                <c:pt idx="0">
                  <c:v>0.59600737381712754</c:v>
                </c:pt>
                <c:pt idx="1">
                  <c:v>0.55070448420782492</c:v>
                </c:pt>
                <c:pt idx="2">
                  <c:v>0.50250989548438108</c:v>
                </c:pt>
                <c:pt idx="3">
                  <c:v>0.40138151548598677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25-4BD8-8689-9FD215827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309504"/>
        <c:axId val="126311040"/>
      </c:barChart>
      <c:catAx>
        <c:axId val="126309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6311040"/>
        <c:crosses val="autoZero"/>
        <c:auto val="1"/>
        <c:lblAlgn val="ctr"/>
        <c:lblOffset val="100"/>
        <c:noMultiLvlLbl val="0"/>
      </c:catAx>
      <c:valAx>
        <c:axId val="1263110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Uptake of </a:t>
                </a:r>
                <a:r>
                  <a:rPr lang="en-CA" baseline="30000"/>
                  <a:t>15</a:t>
                </a:r>
                <a:r>
                  <a:rPr lang="en-CA"/>
                  <a:t>N (</a:t>
                </a:r>
                <a:r>
                  <a:rPr lang="en-CA">
                    <a:latin typeface="Times New Roman"/>
                    <a:cs typeface="Times New Roman"/>
                  </a:rPr>
                  <a:t>µ</a:t>
                </a:r>
                <a:r>
                  <a:rPr lang="en-CA"/>
                  <a:t>mol l</a:t>
                </a:r>
                <a:r>
                  <a:rPr lang="en-CA" baseline="30000"/>
                  <a:t>-1</a:t>
                </a:r>
                <a:r>
                  <a:rPr lang="en-CA"/>
                  <a:t>)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12630950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'N-15'!$AH$42:$AL$42</c:f>
                <c:numCache>
                  <c:formatCode>General</c:formatCode>
                  <c:ptCount val="5"/>
                  <c:pt idx="2">
                    <c:v>0.36063317502788728</c:v>
                  </c:pt>
                  <c:pt idx="3">
                    <c:v>1.1848768258830588E-2</c:v>
                  </c:pt>
                  <c:pt idx="4">
                    <c:v>5.6742450201549124E-2</c:v>
                  </c:pt>
                </c:numCache>
              </c:numRef>
            </c:plus>
            <c:minus>
              <c:numRef>
                <c:f>'N-15'!$AH$42:$AL$42</c:f>
                <c:numCache>
                  <c:formatCode>General</c:formatCode>
                  <c:ptCount val="5"/>
                  <c:pt idx="2">
                    <c:v>0.36063317502788728</c:v>
                  </c:pt>
                  <c:pt idx="3">
                    <c:v>1.1848768258830588E-2</c:v>
                  </c:pt>
                  <c:pt idx="4">
                    <c:v>5.6742450201549124E-2</c:v>
                  </c:pt>
                </c:numCache>
              </c:numRef>
            </c:minus>
          </c:errBars>
          <c:cat>
            <c:strRef>
              <c:f>'N-15'!$AH$40:$AL$40</c:f>
              <c:strCache>
                <c:ptCount val="5"/>
                <c:pt idx="0">
                  <c:v>SI</c:v>
                </c:pt>
                <c:pt idx="1">
                  <c:v>FRP</c:v>
                </c:pt>
                <c:pt idx="2">
                  <c:v>GH</c:v>
                </c:pt>
                <c:pt idx="3">
                  <c:v>SB</c:v>
                </c:pt>
                <c:pt idx="4">
                  <c:v>JP</c:v>
                </c:pt>
              </c:strCache>
            </c:strRef>
          </c:cat>
          <c:val>
            <c:numRef>
              <c:f>'N-15'!$AH$41:$AL$41</c:f>
              <c:numCache>
                <c:formatCode>General</c:formatCode>
                <c:ptCount val="5"/>
                <c:pt idx="0">
                  <c:v>1.6684845330633085</c:v>
                </c:pt>
                <c:pt idx="1">
                  <c:v>1.7608781768111659</c:v>
                </c:pt>
                <c:pt idx="2">
                  <c:v>4.1571736135158828</c:v>
                </c:pt>
                <c:pt idx="3" formatCode="0.000">
                  <c:v>0.59600737381712754</c:v>
                </c:pt>
                <c:pt idx="4" formatCode="0.000">
                  <c:v>0.50250989548438108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C9-4E08-B111-F1BC5C272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323712"/>
        <c:axId val="126329600"/>
      </c:barChart>
      <c:catAx>
        <c:axId val="1263237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6329600"/>
        <c:crosses val="autoZero"/>
        <c:auto val="1"/>
        <c:lblAlgn val="ctr"/>
        <c:lblOffset val="100"/>
        <c:noMultiLvlLbl val="0"/>
      </c:catAx>
      <c:valAx>
        <c:axId val="1263296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Uptake of </a:t>
                </a:r>
                <a:r>
                  <a:rPr lang="en-CA" baseline="30000"/>
                  <a:t>15</a:t>
                </a:r>
                <a:r>
                  <a:rPr lang="en-CA" baseline="0"/>
                  <a:t>N (</a:t>
                </a:r>
                <a:r>
                  <a:rPr lang="en-CA" baseline="0">
                    <a:latin typeface="Times New Roman"/>
                    <a:cs typeface="Times New Roman"/>
                  </a:rPr>
                  <a:t>µ</a:t>
                </a:r>
                <a:r>
                  <a:rPr lang="en-CA" baseline="0"/>
                  <a:t>mol l</a:t>
                </a:r>
                <a:r>
                  <a:rPr lang="en-CA" baseline="30000"/>
                  <a:t>-1</a:t>
                </a:r>
                <a:r>
                  <a:rPr lang="en-CA" baseline="0"/>
                  <a:t>)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63237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5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CA"/>
              <a:t>SB</a:t>
            </a:r>
          </a:p>
        </c:rich>
      </c:tx>
      <c:layout>
        <c:manualLayout>
          <c:xMode val="edge"/>
          <c:yMode val="edge"/>
          <c:x val="2.2666666666666658E-2"/>
          <c:y val="2.7777777777777776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'NH4'!$L$17</c:f>
              <c:strCache>
                <c:ptCount val="1"/>
                <c:pt idx="0">
                  <c:v>SW+L</c:v>
                </c:pt>
              </c:strCache>
            </c:strRef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'NH4'!$M$22:$P$22</c:f>
                <c:numCache>
                  <c:formatCode>General</c:formatCode>
                  <c:ptCount val="4"/>
                  <c:pt idx="0">
                    <c:v>1.1991951236292914E-3</c:v>
                  </c:pt>
                  <c:pt idx="1">
                    <c:v>1.2468972557880155E-2</c:v>
                  </c:pt>
                  <c:pt idx="2">
                    <c:v>8.8215391879314445E-3</c:v>
                  </c:pt>
                  <c:pt idx="3">
                    <c:v>1.9282233638193748E-3</c:v>
                  </c:pt>
                </c:numCache>
              </c:numRef>
            </c:plus>
            <c:minus>
              <c:numRef>
                <c:f>'NH4'!$M$22:$P$22</c:f>
                <c:numCache>
                  <c:formatCode>General</c:formatCode>
                  <c:ptCount val="4"/>
                  <c:pt idx="0">
                    <c:v>1.1991951236292914E-3</c:v>
                  </c:pt>
                  <c:pt idx="1">
                    <c:v>1.2468972557880155E-2</c:v>
                  </c:pt>
                  <c:pt idx="2">
                    <c:v>8.8215391879314445E-3</c:v>
                  </c:pt>
                  <c:pt idx="3">
                    <c:v>1.9282233638193748E-3</c:v>
                  </c:pt>
                </c:numCache>
              </c:numRef>
            </c:minus>
          </c:errBars>
          <c:xVal>
            <c:numRef>
              <c:f>'NH4'!$M$16:$P$16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'NH4'!$M$17:$P$17</c:f>
              <c:numCache>
                <c:formatCode>General</c:formatCode>
                <c:ptCount val="4"/>
                <c:pt idx="0">
                  <c:v>5.2473758061469554E-2</c:v>
                </c:pt>
                <c:pt idx="1">
                  <c:v>4.8358698291912895E-2</c:v>
                </c:pt>
                <c:pt idx="2">
                  <c:v>5.4025337974581068E-2</c:v>
                </c:pt>
                <c:pt idx="3">
                  <c:v>5.1529318114358187E-2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FB-42EA-868D-B46984EE6CCE}"/>
            </c:ext>
          </c:extLst>
        </c:ser>
        <c:ser>
          <c:idx val="1"/>
          <c:order val="1"/>
          <c:tx>
            <c:strRef>
              <c:f>'NH4'!$L$18</c:f>
              <c:strCache>
                <c:ptCount val="1"/>
                <c:pt idx="0">
                  <c:v>SW+N</c:v>
                </c:pt>
              </c:strCache>
            </c:strRef>
          </c:tx>
          <c:spPr>
            <a:ln w="285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'NH4'!$M$23:$P$23</c:f>
                <c:numCache>
                  <c:formatCode>General</c:formatCode>
                  <c:ptCount val="4"/>
                  <c:pt idx="0">
                    <c:v>0.10461997143692277</c:v>
                  </c:pt>
                  <c:pt idx="1">
                    <c:v>4.4893144963383994E-2</c:v>
                  </c:pt>
                  <c:pt idx="2">
                    <c:v>4.2148571595831831E-2</c:v>
                  </c:pt>
                  <c:pt idx="3">
                    <c:v>2.3824460166775016E-2</c:v>
                  </c:pt>
                </c:numCache>
              </c:numRef>
            </c:plus>
            <c:minus>
              <c:numRef>
                <c:f>'NH4'!$M$23:$P$23</c:f>
                <c:numCache>
                  <c:formatCode>General</c:formatCode>
                  <c:ptCount val="4"/>
                  <c:pt idx="0">
                    <c:v>0.10461997143692277</c:v>
                  </c:pt>
                  <c:pt idx="1">
                    <c:v>4.4893144963383994E-2</c:v>
                  </c:pt>
                  <c:pt idx="2">
                    <c:v>4.2148571595831831E-2</c:v>
                  </c:pt>
                  <c:pt idx="3">
                    <c:v>2.3824460166775016E-2</c:v>
                  </c:pt>
                </c:numCache>
              </c:numRef>
            </c:minus>
          </c:errBars>
          <c:xVal>
            <c:numRef>
              <c:f>'NH4'!$M$16:$P$16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'NH4'!$M$18:$P$18</c:f>
              <c:numCache>
                <c:formatCode>General</c:formatCode>
                <c:ptCount val="4"/>
                <c:pt idx="0">
                  <c:v>0.79972813621522432</c:v>
                </c:pt>
                <c:pt idx="1">
                  <c:v>0.40812285814511995</c:v>
                </c:pt>
                <c:pt idx="2">
                  <c:v>0.10448541514881675</c:v>
                </c:pt>
                <c:pt idx="3">
                  <c:v>8.1144256455921632E-2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2FB-42EA-868D-B46984EE6CCE}"/>
            </c:ext>
          </c:extLst>
        </c:ser>
        <c:ser>
          <c:idx val="2"/>
          <c:order val="2"/>
          <c:tx>
            <c:strRef>
              <c:f>'NH4'!$L$19</c:f>
              <c:strCache>
                <c:ptCount val="1"/>
                <c:pt idx="0">
                  <c:v>SW</c:v>
                </c:pt>
              </c:strCache>
            </c:strRef>
          </c:tx>
          <c:spPr>
            <a:ln w="28575">
              <a:solidFill>
                <a:schemeClr val="tx1"/>
              </a:solidFill>
              <a:prstDash val="sys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'NH4'!$M$24:$P$24</c:f>
                <c:numCache>
                  <c:formatCode>General</c:formatCode>
                  <c:ptCount val="4"/>
                  <c:pt idx="0">
                    <c:v>1.0578751304463181E-2</c:v>
                  </c:pt>
                  <c:pt idx="1">
                    <c:v>1.5310298428163081E-2</c:v>
                  </c:pt>
                  <c:pt idx="2">
                    <c:v>1.5909836218322166E-2</c:v>
                  </c:pt>
                  <c:pt idx="3">
                    <c:v>5.2674983718637774E-3</c:v>
                  </c:pt>
                </c:numCache>
              </c:numRef>
            </c:plus>
            <c:minus>
              <c:numRef>
                <c:f>'NH4'!$M$24:$P$24</c:f>
                <c:numCache>
                  <c:formatCode>General</c:formatCode>
                  <c:ptCount val="4"/>
                  <c:pt idx="0">
                    <c:v>1.0578751304463181E-2</c:v>
                  </c:pt>
                  <c:pt idx="1">
                    <c:v>1.5310298428163081E-2</c:v>
                  </c:pt>
                  <c:pt idx="2">
                    <c:v>1.5909836218322166E-2</c:v>
                  </c:pt>
                  <c:pt idx="3">
                    <c:v>5.2674983718637774E-3</c:v>
                  </c:pt>
                </c:numCache>
              </c:numRef>
            </c:minus>
            <c:spPr>
              <a:ln>
                <a:solidFill>
                  <a:schemeClr val="accent1"/>
                </a:solidFill>
              </a:ln>
            </c:spPr>
          </c:errBars>
          <c:xVal>
            <c:numRef>
              <c:f>'NH4'!$M$16:$P$16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'NH4'!$M$19:$P$19</c:f>
              <c:numCache>
                <c:formatCode>General</c:formatCode>
                <c:ptCount val="4"/>
                <c:pt idx="0">
                  <c:v>8.3977576297255732E-2</c:v>
                </c:pt>
                <c:pt idx="1">
                  <c:v>6.1176097574138534E-2</c:v>
                </c:pt>
                <c:pt idx="2">
                  <c:v>6.3469737445694716E-2</c:v>
                </c:pt>
                <c:pt idx="3">
                  <c:v>5.3283278016136436E-2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2FB-42EA-868D-B46984EE6C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961536"/>
        <c:axId val="124963456"/>
      </c:scatterChart>
      <c:valAx>
        <c:axId val="12496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Time (h)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4963456"/>
        <c:crosses val="autoZero"/>
        <c:crossBetween val="midCat"/>
      </c:valAx>
      <c:valAx>
        <c:axId val="1249634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Ammonium (</a:t>
                </a:r>
                <a:r>
                  <a:rPr lang="en-CA">
                    <a:latin typeface="Times New Roman"/>
                    <a:cs typeface="Times New Roman"/>
                  </a:rPr>
                  <a:t>µmol l</a:t>
                </a:r>
                <a:r>
                  <a:rPr lang="en-CA" baseline="30000">
                    <a:latin typeface="Times New Roman"/>
                    <a:cs typeface="Times New Roman"/>
                  </a:rPr>
                  <a:t>-1</a:t>
                </a:r>
                <a:r>
                  <a:rPr lang="en-CA" baseline="0">
                    <a:latin typeface="Times New Roman"/>
                    <a:cs typeface="Times New Roman"/>
                  </a:rPr>
                  <a:t>)</a:t>
                </a:r>
                <a:endParaRPr lang="en-CA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49615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CA"/>
              <a:t>JP</a:t>
            </a:r>
          </a:p>
        </c:rich>
      </c:tx>
      <c:layout>
        <c:manualLayout>
          <c:xMode val="edge"/>
          <c:yMode val="edge"/>
          <c:x val="2.2666666666666658E-2"/>
          <c:y val="2.7777777777777776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'NH4'!$L$32</c:f>
              <c:strCache>
                <c:ptCount val="1"/>
                <c:pt idx="0">
                  <c:v>SW+L</c:v>
                </c:pt>
              </c:strCache>
            </c:strRef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'NH4'!$M$37:$P$37</c:f>
                <c:numCache>
                  <c:formatCode>General</c:formatCode>
                  <c:ptCount val="4"/>
                  <c:pt idx="0">
                    <c:v>9.5185552662615403E-3</c:v>
                  </c:pt>
                  <c:pt idx="1">
                    <c:v>3.8726444810503718E-2</c:v>
                  </c:pt>
                  <c:pt idx="2">
                    <c:v>1.7481383023552201E-2</c:v>
                  </c:pt>
                  <c:pt idx="3">
                    <c:v>6.0334283679635385E-3</c:v>
                  </c:pt>
                </c:numCache>
              </c:numRef>
            </c:plus>
            <c:minus>
              <c:numRef>
                <c:f>'NH4'!$M$37:$P$37</c:f>
                <c:numCache>
                  <c:formatCode>General</c:formatCode>
                  <c:ptCount val="4"/>
                  <c:pt idx="0">
                    <c:v>9.5185552662615403E-3</c:v>
                  </c:pt>
                  <c:pt idx="1">
                    <c:v>3.8726444810503718E-2</c:v>
                  </c:pt>
                  <c:pt idx="2">
                    <c:v>1.7481383023552201E-2</c:v>
                  </c:pt>
                  <c:pt idx="3">
                    <c:v>6.0334283679635385E-3</c:v>
                  </c:pt>
                </c:numCache>
              </c:numRef>
            </c:minus>
          </c:errBars>
          <c:xVal>
            <c:numRef>
              <c:f>'NH4'!$M$31:$P$31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'NH4'!$M$32:$P$32</c:f>
              <c:numCache>
                <c:formatCode>General</c:formatCode>
                <c:ptCount val="4"/>
                <c:pt idx="0">
                  <c:v>0.19677068998084135</c:v>
                </c:pt>
                <c:pt idx="1">
                  <c:v>8.8295016055479111E-2</c:v>
                </c:pt>
                <c:pt idx="2">
                  <c:v>5.9287217679915814E-2</c:v>
                </c:pt>
                <c:pt idx="3">
                  <c:v>5.5374537899025883E-2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5C-447B-935C-7AF08FCD98C9}"/>
            </c:ext>
          </c:extLst>
        </c:ser>
        <c:ser>
          <c:idx val="1"/>
          <c:order val="1"/>
          <c:tx>
            <c:strRef>
              <c:f>'NH4'!$L$33</c:f>
              <c:strCache>
                <c:ptCount val="1"/>
                <c:pt idx="0">
                  <c:v>SW+N</c:v>
                </c:pt>
              </c:strCache>
            </c:strRef>
          </c:tx>
          <c:spPr>
            <a:ln w="285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'NH4'!$M$37:$P$37</c:f>
                <c:numCache>
                  <c:formatCode>General</c:formatCode>
                  <c:ptCount val="4"/>
                  <c:pt idx="0">
                    <c:v>9.5185552662615403E-3</c:v>
                  </c:pt>
                  <c:pt idx="1">
                    <c:v>3.8726444810503718E-2</c:v>
                  </c:pt>
                  <c:pt idx="2">
                    <c:v>1.7481383023552201E-2</c:v>
                  </c:pt>
                  <c:pt idx="3">
                    <c:v>6.0334283679635385E-3</c:v>
                  </c:pt>
                </c:numCache>
              </c:numRef>
            </c:plus>
            <c:minus>
              <c:numRef>
                <c:f>'NH4'!$M$37:$P$37</c:f>
                <c:numCache>
                  <c:formatCode>General</c:formatCode>
                  <c:ptCount val="4"/>
                  <c:pt idx="0">
                    <c:v>9.5185552662615403E-3</c:v>
                  </c:pt>
                  <c:pt idx="1">
                    <c:v>3.8726444810503718E-2</c:v>
                  </c:pt>
                  <c:pt idx="2">
                    <c:v>1.7481383023552201E-2</c:v>
                  </c:pt>
                  <c:pt idx="3">
                    <c:v>6.0334283679635385E-3</c:v>
                  </c:pt>
                </c:numCache>
              </c:numRef>
            </c:minus>
          </c:errBars>
          <c:xVal>
            <c:numRef>
              <c:f>'NH4'!$M$31:$P$31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'NH4'!$M$33:$P$33</c:f>
              <c:numCache>
                <c:formatCode>General</c:formatCode>
                <c:ptCount val="4"/>
                <c:pt idx="0">
                  <c:v>0.8236089748778973</c:v>
                </c:pt>
                <c:pt idx="1">
                  <c:v>0.3912578590895599</c:v>
                </c:pt>
                <c:pt idx="2">
                  <c:v>9.618783561348121E-2</c:v>
                </c:pt>
                <c:pt idx="3">
                  <c:v>4.6267438409023448E-2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5C-447B-935C-7AF08FCD98C9}"/>
            </c:ext>
          </c:extLst>
        </c:ser>
        <c:ser>
          <c:idx val="2"/>
          <c:order val="2"/>
          <c:tx>
            <c:strRef>
              <c:f>'NH4'!$L$34</c:f>
              <c:strCache>
                <c:ptCount val="1"/>
                <c:pt idx="0">
                  <c:v>SW</c:v>
                </c:pt>
              </c:strCache>
            </c:strRef>
          </c:tx>
          <c:spPr>
            <a:ln w="28575">
              <a:solidFill>
                <a:schemeClr val="tx1"/>
              </a:solidFill>
              <a:prstDash val="sys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'NH4'!$M$39:$P$39</c:f>
                <c:numCache>
                  <c:formatCode>General</c:formatCode>
                  <c:ptCount val="4"/>
                  <c:pt idx="0">
                    <c:v>3.7481298424374937E-3</c:v>
                  </c:pt>
                  <c:pt idx="1">
                    <c:v>1.1385161026755302E-2</c:v>
                  </c:pt>
                  <c:pt idx="2">
                    <c:v>6.949361968577622E-3</c:v>
                  </c:pt>
                  <c:pt idx="3">
                    <c:v>2.7059784559933593E-3</c:v>
                  </c:pt>
                </c:numCache>
              </c:numRef>
            </c:plus>
            <c:minus>
              <c:numRef>
                <c:f>'NH4'!$M$39:$P$39</c:f>
                <c:numCache>
                  <c:formatCode>General</c:formatCode>
                  <c:ptCount val="4"/>
                  <c:pt idx="0">
                    <c:v>3.7481298424374937E-3</c:v>
                  </c:pt>
                  <c:pt idx="1">
                    <c:v>1.1385161026755302E-2</c:v>
                  </c:pt>
                  <c:pt idx="2">
                    <c:v>6.949361968577622E-3</c:v>
                  </c:pt>
                  <c:pt idx="3">
                    <c:v>2.7059784559933593E-3</c:v>
                  </c:pt>
                </c:numCache>
              </c:numRef>
            </c:minus>
          </c:errBars>
          <c:xVal>
            <c:numRef>
              <c:f>'NH4'!$M$31:$P$31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'NH4'!$M$34:$P$34</c:f>
              <c:numCache>
                <c:formatCode>General</c:formatCode>
                <c:ptCount val="4"/>
                <c:pt idx="0">
                  <c:v>0.11291791467659679</c:v>
                </c:pt>
                <c:pt idx="1">
                  <c:v>5.5172157910359156E-2</c:v>
                </c:pt>
                <c:pt idx="2">
                  <c:v>4.5660298443023294E-2</c:v>
                </c:pt>
                <c:pt idx="3">
                  <c:v>4.3366658571467126E-2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15C-447B-935C-7AF08FCD98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728640"/>
        <c:axId val="125730816"/>
      </c:scatterChart>
      <c:valAx>
        <c:axId val="12572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Time (h)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5730816"/>
        <c:crosses val="autoZero"/>
        <c:crossBetween val="midCat"/>
      </c:valAx>
      <c:valAx>
        <c:axId val="125730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Ammonium (</a:t>
                </a:r>
                <a:r>
                  <a:rPr lang="en-CA" sz="1200" b="1" i="0" u="none" strike="noStrike" baseline="0">
                    <a:effectLst/>
                  </a:rPr>
                  <a:t>µmol l</a:t>
                </a:r>
                <a:r>
                  <a:rPr lang="en-CA" sz="1200" b="1" i="0" u="none" strike="noStrike" baseline="30000">
                    <a:effectLst/>
                  </a:rPr>
                  <a:t>-1</a:t>
                </a:r>
                <a:r>
                  <a:rPr lang="en-CA" sz="1200" b="1" i="0" u="none" strike="noStrike" baseline="0">
                    <a:effectLst/>
                  </a:rPr>
                  <a:t>)</a:t>
                </a:r>
                <a:endParaRPr lang="en-CA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57286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CA"/>
              <a:t>SB</a:t>
            </a:r>
          </a:p>
        </c:rich>
      </c:tx>
      <c:layout>
        <c:manualLayout>
          <c:xMode val="edge"/>
          <c:yMode val="edge"/>
          <c:x val="2.2493000874890614E-2"/>
          <c:y val="3.240740740740740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Initial</c:v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Chla!$N$22:$N$24</c:f>
                <c:numCache>
                  <c:formatCode>General</c:formatCode>
                  <c:ptCount val="3"/>
                  <c:pt idx="0">
                    <c:v>5.3959544378769965E-2</c:v>
                  </c:pt>
                  <c:pt idx="1">
                    <c:v>4.667927036866696E-2</c:v>
                  </c:pt>
                  <c:pt idx="2">
                    <c:v>2.5619475151879543E-2</c:v>
                  </c:pt>
                </c:numCache>
              </c:numRef>
            </c:plus>
            <c:minus>
              <c:numRef>
                <c:f>Chla!$N$22:$N$24</c:f>
                <c:numCache>
                  <c:formatCode>General</c:formatCode>
                  <c:ptCount val="3"/>
                  <c:pt idx="0">
                    <c:v>5.3959544378769965E-2</c:v>
                  </c:pt>
                  <c:pt idx="1">
                    <c:v>4.667927036866696E-2</c:v>
                  </c:pt>
                  <c:pt idx="2">
                    <c:v>2.5619475151879543E-2</c:v>
                  </c:pt>
                </c:numCache>
              </c:numRef>
            </c:minus>
          </c:errBars>
          <c:cat>
            <c:strRef>
              <c:f>Chla!$M$18:$M$20</c:f>
              <c:strCache>
                <c:ptCount val="3"/>
                <c:pt idx="0">
                  <c:v>SW+L</c:v>
                </c:pt>
                <c:pt idx="1">
                  <c:v>SW+N</c:v>
                </c:pt>
                <c:pt idx="2">
                  <c:v>SW</c:v>
                </c:pt>
              </c:strCache>
            </c:strRef>
          </c:cat>
          <c:val>
            <c:numRef>
              <c:f>Chla!$N$18:$N$20</c:f>
              <c:numCache>
                <c:formatCode>General</c:formatCode>
                <c:ptCount val="3"/>
                <c:pt idx="0">
                  <c:v>0.80678173333333314</c:v>
                </c:pt>
                <c:pt idx="1">
                  <c:v>0.82436293333333344</c:v>
                </c:pt>
                <c:pt idx="2">
                  <c:v>0.94547786666666678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C6-4240-B019-CB50E9271032}"/>
            </c:ext>
          </c:extLst>
        </c:ser>
        <c:ser>
          <c:idx val="1"/>
          <c:order val="1"/>
          <c:tx>
            <c:v>Final</c:v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Chla!$O$22:$O$24</c:f>
                <c:numCache>
                  <c:formatCode>General</c:formatCode>
                  <c:ptCount val="3"/>
                  <c:pt idx="0">
                    <c:v>6.9697982457393406E-2</c:v>
                  </c:pt>
                  <c:pt idx="1">
                    <c:v>2.5841934972271479E-2</c:v>
                  </c:pt>
                  <c:pt idx="2">
                    <c:v>0.10485222097417744</c:v>
                  </c:pt>
                </c:numCache>
              </c:numRef>
            </c:plus>
            <c:minus>
              <c:numRef>
                <c:f>Chla!$O$22:$O$24</c:f>
                <c:numCache>
                  <c:formatCode>General</c:formatCode>
                  <c:ptCount val="3"/>
                  <c:pt idx="0">
                    <c:v>6.9697982457393406E-2</c:v>
                  </c:pt>
                  <c:pt idx="1">
                    <c:v>2.5841934972271479E-2</c:v>
                  </c:pt>
                  <c:pt idx="2">
                    <c:v>0.10485222097417744</c:v>
                  </c:pt>
                </c:numCache>
              </c:numRef>
            </c:minus>
          </c:errBars>
          <c:cat>
            <c:strRef>
              <c:f>Chla!$M$18:$M$20</c:f>
              <c:strCache>
                <c:ptCount val="3"/>
                <c:pt idx="0">
                  <c:v>SW+L</c:v>
                </c:pt>
                <c:pt idx="1">
                  <c:v>SW+N</c:v>
                </c:pt>
                <c:pt idx="2">
                  <c:v>SW</c:v>
                </c:pt>
              </c:strCache>
            </c:strRef>
          </c:cat>
          <c:val>
            <c:numRef>
              <c:f>Chla!$O$18:$O$20</c:f>
              <c:numCache>
                <c:formatCode>General</c:formatCode>
                <c:ptCount val="3"/>
                <c:pt idx="0">
                  <c:v>0.98650066666666669</c:v>
                </c:pt>
                <c:pt idx="1">
                  <c:v>1.3517989333333336</c:v>
                </c:pt>
                <c:pt idx="2">
                  <c:v>0.78138666666666667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C6-4240-B019-CB50E92710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792256"/>
        <c:axId val="125793792"/>
      </c:barChart>
      <c:catAx>
        <c:axId val="125792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5793792"/>
        <c:crosses val="autoZero"/>
        <c:auto val="1"/>
        <c:lblAlgn val="ctr"/>
        <c:lblOffset val="100"/>
        <c:noMultiLvlLbl val="0"/>
      </c:catAx>
      <c:valAx>
        <c:axId val="1257937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Chlorophyll</a:t>
                </a:r>
                <a:r>
                  <a:rPr lang="en-CA" baseline="0"/>
                  <a:t> </a:t>
                </a:r>
                <a:r>
                  <a:rPr lang="en-CA" i="1" baseline="0"/>
                  <a:t>a</a:t>
                </a:r>
                <a:r>
                  <a:rPr lang="en-CA" i="0" baseline="0"/>
                  <a:t> (</a:t>
                </a:r>
                <a:r>
                  <a:rPr lang="en-CA" i="0" baseline="0">
                    <a:latin typeface="Times New Roman"/>
                    <a:cs typeface="Times New Roman"/>
                  </a:rPr>
                  <a:t>µg l</a:t>
                </a:r>
                <a:r>
                  <a:rPr lang="en-CA" i="0" baseline="30000">
                    <a:latin typeface="Times New Roman"/>
                    <a:cs typeface="Times New Roman"/>
                  </a:rPr>
                  <a:t>-1</a:t>
                </a:r>
                <a:r>
                  <a:rPr lang="en-CA" i="0" baseline="0">
                    <a:latin typeface="Times New Roman"/>
                    <a:cs typeface="Times New Roman"/>
                  </a:rPr>
                  <a:t>)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57922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CA"/>
              <a:t>JP</a:t>
            </a:r>
          </a:p>
        </c:rich>
      </c:tx>
      <c:layout>
        <c:manualLayout>
          <c:xMode val="edge"/>
          <c:yMode val="edge"/>
          <c:x val="2.2493000874890614E-2"/>
          <c:y val="3.2407407407407406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Initial</c:v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Chla!$T$22:$T$24</c:f>
                <c:numCache>
                  <c:formatCode>General</c:formatCode>
                  <c:ptCount val="3"/>
                  <c:pt idx="0">
                    <c:v>0.4253177421302064</c:v>
                  </c:pt>
                  <c:pt idx="1">
                    <c:v>0.46651876068376563</c:v>
                  </c:pt>
                  <c:pt idx="2">
                    <c:v>0.24781324270929905</c:v>
                  </c:pt>
                </c:numCache>
              </c:numRef>
            </c:plus>
            <c:minus>
              <c:numRef>
                <c:f>Chla!$T$22:$T$24</c:f>
                <c:numCache>
                  <c:formatCode>General</c:formatCode>
                  <c:ptCount val="3"/>
                  <c:pt idx="0">
                    <c:v>0.4253177421302064</c:v>
                  </c:pt>
                  <c:pt idx="1">
                    <c:v>0.46651876068376563</c:v>
                  </c:pt>
                  <c:pt idx="2">
                    <c:v>0.24781324270929905</c:v>
                  </c:pt>
                </c:numCache>
              </c:numRef>
            </c:minus>
          </c:errBars>
          <c:cat>
            <c:strRef>
              <c:f>Chla!$S$18:$S$20</c:f>
              <c:strCache>
                <c:ptCount val="3"/>
                <c:pt idx="0">
                  <c:v>SW+L</c:v>
                </c:pt>
                <c:pt idx="1">
                  <c:v>SW+N</c:v>
                </c:pt>
                <c:pt idx="2">
                  <c:v>SW</c:v>
                </c:pt>
              </c:strCache>
            </c:strRef>
          </c:cat>
          <c:val>
            <c:numRef>
              <c:f>Chla!$T$18:$T$20</c:f>
              <c:numCache>
                <c:formatCode>General</c:formatCode>
                <c:ptCount val="3"/>
                <c:pt idx="0">
                  <c:v>5.7705405333333344</c:v>
                </c:pt>
                <c:pt idx="1">
                  <c:v>5.6728672000000016</c:v>
                </c:pt>
                <c:pt idx="2">
                  <c:v>4.2624642666666679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EC-49B1-9E43-0B376AE0F144}"/>
            </c:ext>
          </c:extLst>
        </c:ser>
        <c:ser>
          <c:idx val="1"/>
          <c:order val="1"/>
          <c:tx>
            <c:v>Final</c:v>
          </c:tx>
          <c:spPr>
            <a:solidFill>
              <a:schemeClr val="tx1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Chla!$U$22:$U$24</c:f>
                <c:numCache>
                  <c:formatCode>General</c:formatCode>
                  <c:ptCount val="3"/>
                  <c:pt idx="0">
                    <c:v>0.24083162300288613</c:v>
                  </c:pt>
                  <c:pt idx="1">
                    <c:v>0.96314623567641755</c:v>
                  </c:pt>
                  <c:pt idx="2">
                    <c:v>0.13390867952279184</c:v>
                  </c:pt>
                </c:numCache>
              </c:numRef>
            </c:plus>
            <c:minus>
              <c:numRef>
                <c:f>Chla!$U$22:$U$24</c:f>
                <c:numCache>
                  <c:formatCode>General</c:formatCode>
                  <c:ptCount val="3"/>
                  <c:pt idx="0">
                    <c:v>0.24083162300288613</c:v>
                  </c:pt>
                  <c:pt idx="1">
                    <c:v>0.96314623567641755</c:v>
                  </c:pt>
                  <c:pt idx="2">
                    <c:v>0.13390867952279184</c:v>
                  </c:pt>
                </c:numCache>
              </c:numRef>
            </c:minus>
          </c:errBars>
          <c:cat>
            <c:strRef>
              <c:f>Chla!$S$18:$S$20</c:f>
              <c:strCache>
                <c:ptCount val="3"/>
                <c:pt idx="0">
                  <c:v>SW+L</c:v>
                </c:pt>
                <c:pt idx="1">
                  <c:v>SW+N</c:v>
                </c:pt>
                <c:pt idx="2">
                  <c:v>SW</c:v>
                </c:pt>
              </c:strCache>
            </c:strRef>
          </c:cat>
          <c:val>
            <c:numRef>
              <c:f>Chla!$U$18:$U$20</c:f>
              <c:numCache>
                <c:formatCode>General</c:formatCode>
                <c:ptCount val="3"/>
                <c:pt idx="0">
                  <c:v>5.5224502666666675</c:v>
                </c:pt>
                <c:pt idx="1">
                  <c:v>3.7213540000000003</c:v>
                </c:pt>
                <c:pt idx="2">
                  <c:v>4.4499970666666684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EC-49B1-9E43-0B376AE0F1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980672"/>
        <c:axId val="125982208"/>
      </c:barChart>
      <c:catAx>
        <c:axId val="1259806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5982208"/>
        <c:crosses val="autoZero"/>
        <c:auto val="1"/>
        <c:lblAlgn val="ctr"/>
        <c:lblOffset val="100"/>
        <c:noMultiLvlLbl val="0"/>
      </c:catAx>
      <c:valAx>
        <c:axId val="125982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Chlorophyll </a:t>
                </a:r>
                <a:r>
                  <a:rPr lang="en-CA" i="1"/>
                  <a:t>a</a:t>
                </a:r>
                <a:r>
                  <a:rPr lang="en-CA" i="0"/>
                  <a:t> (</a:t>
                </a:r>
                <a:r>
                  <a:rPr lang="en-CA" i="0">
                    <a:latin typeface="Times New Roman"/>
                    <a:cs typeface="Times New Roman"/>
                  </a:rPr>
                  <a:t>µg l</a:t>
                </a:r>
                <a:r>
                  <a:rPr lang="en-CA" i="0" baseline="30000">
                    <a:latin typeface="Times New Roman"/>
                    <a:cs typeface="Times New Roman"/>
                  </a:rPr>
                  <a:t>-1</a:t>
                </a:r>
                <a:r>
                  <a:rPr lang="en-CA" i="0" baseline="0">
                    <a:latin typeface="Times New Roman"/>
                    <a:cs typeface="Times New Roman"/>
                  </a:rPr>
                  <a:t>)</a:t>
                </a:r>
                <a:endParaRPr lang="en-CA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59806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Chla!$AA$6</c:f>
              <c:strCache>
                <c:ptCount val="1"/>
                <c:pt idx="0">
                  <c:v>Chla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Chla!$AA$15:$AA$20</c:f>
                <c:numCache>
                  <c:formatCode>General</c:formatCode>
                  <c:ptCount val="6"/>
                  <c:pt idx="0">
                    <c:v>9.7065869655061421E-2</c:v>
                  </c:pt>
                  <c:pt idx="1">
                    <c:v>0.1218061266321194</c:v>
                  </c:pt>
                  <c:pt idx="2">
                    <c:v>0.20561570641602275</c:v>
                  </c:pt>
                  <c:pt idx="3">
                    <c:v>0.64016208449202328</c:v>
                  </c:pt>
                  <c:pt idx="4">
                    <c:v>0.93936563472105006</c:v>
                  </c:pt>
                  <c:pt idx="5">
                    <c:v>0.21444580165216612</c:v>
                  </c:pt>
                </c:numCache>
              </c:numRef>
            </c:plus>
            <c:minus>
              <c:numRef>
                <c:f>Chla!$AA$15:$AA$20</c:f>
                <c:numCache>
                  <c:formatCode>General</c:formatCode>
                  <c:ptCount val="6"/>
                  <c:pt idx="0">
                    <c:v>9.7065869655061421E-2</c:v>
                  </c:pt>
                  <c:pt idx="1">
                    <c:v>0.1218061266321194</c:v>
                  </c:pt>
                  <c:pt idx="2">
                    <c:v>0.20561570641602275</c:v>
                  </c:pt>
                  <c:pt idx="3">
                    <c:v>0.64016208449202328</c:v>
                  </c:pt>
                  <c:pt idx="4">
                    <c:v>0.93936563472105006</c:v>
                  </c:pt>
                  <c:pt idx="5">
                    <c:v>0.21444580165216612</c:v>
                  </c:pt>
                </c:numCache>
              </c:numRef>
            </c:minus>
          </c:errBars>
          <c:cat>
            <c:multiLvlStrRef>
              <c:f>Chla!$Y$7:$Z$12</c:f>
              <c:multiLvlStrCache>
                <c:ptCount val="6"/>
                <c:lvl>
                  <c:pt idx="0">
                    <c:v>SW+Lys</c:v>
                  </c:pt>
                  <c:pt idx="1">
                    <c:v>SW+N</c:v>
                  </c:pt>
                  <c:pt idx="2">
                    <c:v>SW</c:v>
                  </c:pt>
                  <c:pt idx="3">
                    <c:v>SW+Lys</c:v>
                  </c:pt>
                  <c:pt idx="4">
                    <c:v>SW+N</c:v>
                  </c:pt>
                  <c:pt idx="5">
                    <c:v>SW</c:v>
                  </c:pt>
                </c:lvl>
                <c:lvl>
                  <c:pt idx="0">
                    <c:v>SB</c:v>
                  </c:pt>
                  <c:pt idx="3">
                    <c:v>JP</c:v>
                  </c:pt>
                </c:lvl>
              </c:multiLvlStrCache>
            </c:multiLvlStrRef>
          </c:cat>
          <c:val>
            <c:numRef>
              <c:f>Chla!$AA$7:$AA$12</c:f>
              <c:numCache>
                <c:formatCode>General</c:formatCode>
                <c:ptCount val="6"/>
                <c:pt idx="0">
                  <c:v>0.17971893333333352</c:v>
                </c:pt>
                <c:pt idx="1">
                  <c:v>0.52743600000000013</c:v>
                </c:pt>
                <c:pt idx="2">
                  <c:v>-0.1640912000000001</c:v>
                </c:pt>
                <c:pt idx="3">
                  <c:v>-0.24809026666666659</c:v>
                </c:pt>
                <c:pt idx="4">
                  <c:v>-1.9515132000000006</c:v>
                </c:pt>
                <c:pt idx="5">
                  <c:v>0.18753280000000064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72-48D9-BC53-3365A7DA8892}"/>
            </c:ext>
          </c:extLst>
        </c:ser>
        <c:ser>
          <c:idx val="1"/>
          <c:order val="1"/>
          <c:tx>
            <c:strRef>
              <c:f>Chla!$AB$6</c:f>
              <c:strCache>
                <c:ptCount val="1"/>
                <c:pt idx="0">
                  <c:v>PP</c:v>
                </c:pt>
              </c:strCache>
            </c:strRef>
          </c:tx>
          <c:invertIfNegative val="0"/>
          <c:errBars>
            <c:errBarType val="both"/>
            <c:errValType val="cust"/>
            <c:noEndCap val="0"/>
            <c:plus>
              <c:numRef>
                <c:f>Chla!$AB$15:$AB$20</c:f>
                <c:numCache>
                  <c:formatCode>General</c:formatCode>
                  <c:ptCount val="6"/>
                  <c:pt idx="0">
                    <c:v>7.9368731031306122E-2</c:v>
                  </c:pt>
                  <c:pt idx="1">
                    <c:v>0.81579469393918136</c:v>
                  </c:pt>
                  <c:pt idx="2">
                    <c:v>0.43992247905007381</c:v>
                  </c:pt>
                  <c:pt idx="3">
                    <c:v>0.74950719331628513</c:v>
                  </c:pt>
                  <c:pt idx="4">
                    <c:v>0.42770137177690704</c:v>
                  </c:pt>
                  <c:pt idx="5">
                    <c:v>0.11414588052418631</c:v>
                  </c:pt>
                </c:numCache>
              </c:numRef>
            </c:plus>
            <c:minus>
              <c:numRef>
                <c:f>Chla!$AB$15:$AB$20</c:f>
                <c:numCache>
                  <c:formatCode>General</c:formatCode>
                  <c:ptCount val="6"/>
                  <c:pt idx="0">
                    <c:v>7.9368731031306122E-2</c:v>
                  </c:pt>
                  <c:pt idx="1">
                    <c:v>0.81579469393918136</c:v>
                  </c:pt>
                  <c:pt idx="2">
                    <c:v>0.43992247905007381</c:v>
                  </c:pt>
                  <c:pt idx="3">
                    <c:v>0.74950719331628513</c:v>
                  </c:pt>
                  <c:pt idx="4">
                    <c:v>0.42770137177690704</c:v>
                  </c:pt>
                  <c:pt idx="5">
                    <c:v>0.11414588052418631</c:v>
                  </c:pt>
                </c:numCache>
              </c:numRef>
            </c:minus>
          </c:errBars>
          <c:cat>
            <c:multiLvlStrRef>
              <c:f>Chla!$Y$7:$Z$12</c:f>
              <c:multiLvlStrCache>
                <c:ptCount val="6"/>
                <c:lvl>
                  <c:pt idx="0">
                    <c:v>SW+Lys</c:v>
                  </c:pt>
                  <c:pt idx="1">
                    <c:v>SW+N</c:v>
                  </c:pt>
                  <c:pt idx="2">
                    <c:v>SW</c:v>
                  </c:pt>
                  <c:pt idx="3">
                    <c:v>SW+Lys</c:v>
                  </c:pt>
                  <c:pt idx="4">
                    <c:v>SW+N</c:v>
                  </c:pt>
                  <c:pt idx="5">
                    <c:v>SW</c:v>
                  </c:pt>
                </c:lvl>
                <c:lvl>
                  <c:pt idx="0">
                    <c:v>SB</c:v>
                  </c:pt>
                  <c:pt idx="3">
                    <c:v>JP</c:v>
                  </c:pt>
                </c:lvl>
              </c:multiLvlStrCache>
            </c:multiLvlStrRef>
          </c:cat>
          <c:val>
            <c:numRef>
              <c:f>Chla!$AB$7:$AB$12</c:f>
              <c:numCache>
                <c:formatCode>0.00</c:formatCode>
                <c:ptCount val="6"/>
                <c:pt idx="0">
                  <c:v>0.20797872340425533</c:v>
                </c:pt>
                <c:pt idx="1">
                  <c:v>0.37748226950354613</c:v>
                </c:pt>
                <c:pt idx="2">
                  <c:v>0.13829787234042551</c:v>
                </c:pt>
                <c:pt idx="3">
                  <c:v>9.9778368794326208E-2</c:v>
                </c:pt>
                <c:pt idx="4">
                  <c:v>-2.2650709219858168E-2</c:v>
                </c:pt>
                <c:pt idx="5">
                  <c:v>-7.2251773049645408E-3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72-48D9-BC53-3365A7DA8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016896"/>
        <c:axId val="126018688"/>
      </c:barChart>
      <c:catAx>
        <c:axId val="1260168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26018688"/>
        <c:crosses val="autoZero"/>
        <c:auto val="1"/>
        <c:lblAlgn val="ctr"/>
        <c:lblOffset val="100"/>
        <c:noMultiLvlLbl val="0"/>
      </c:catAx>
      <c:valAx>
        <c:axId val="1260186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1260168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Chla!$M$18</c:f>
              <c:strCache>
                <c:ptCount val="1"/>
                <c:pt idx="0">
                  <c:v>SW+L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Chla!$N$22:$O$22</c:f>
                <c:numCache>
                  <c:formatCode>General</c:formatCode>
                  <c:ptCount val="2"/>
                  <c:pt idx="0">
                    <c:v>5.3959544378769965E-2</c:v>
                  </c:pt>
                  <c:pt idx="1">
                    <c:v>6.9697982457393406E-2</c:v>
                  </c:pt>
                </c:numCache>
              </c:numRef>
            </c:plus>
            <c:minus>
              <c:numRef>
                <c:f>Chla!$N$22:$O$22</c:f>
                <c:numCache>
                  <c:formatCode>General</c:formatCode>
                  <c:ptCount val="2"/>
                  <c:pt idx="0">
                    <c:v>5.3959544378769965E-2</c:v>
                  </c:pt>
                  <c:pt idx="1">
                    <c:v>6.9697982457393406E-2</c:v>
                  </c:pt>
                </c:numCache>
              </c:numRef>
            </c:minus>
          </c:errBars>
          <c:xVal>
            <c:numRef>
              <c:f>Chla!$N$17:$O$17</c:f>
              <c:numCache>
                <c:formatCode>General</c:formatCode>
                <c:ptCount val="2"/>
                <c:pt idx="0">
                  <c:v>0</c:v>
                </c:pt>
                <c:pt idx="1">
                  <c:v>25.5</c:v>
                </c:pt>
              </c:numCache>
            </c:numRef>
          </c:xVal>
          <c:yVal>
            <c:numRef>
              <c:f>Chla!$N$18:$O$18</c:f>
              <c:numCache>
                <c:formatCode>General</c:formatCode>
                <c:ptCount val="2"/>
                <c:pt idx="0">
                  <c:v>0.80678173333333314</c:v>
                </c:pt>
                <c:pt idx="1">
                  <c:v>0.98650066666666669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22-4D46-BA46-8AC537A92FBE}"/>
            </c:ext>
          </c:extLst>
        </c:ser>
        <c:ser>
          <c:idx val="2"/>
          <c:order val="1"/>
          <c:tx>
            <c:strRef>
              <c:f>Chla!$M$20</c:f>
              <c:strCache>
                <c:ptCount val="1"/>
                <c:pt idx="0">
                  <c:v>SW</c:v>
                </c:pt>
              </c:strCache>
            </c:strRef>
          </c:tx>
          <c:spPr>
            <a:ln w="28575">
              <a:solidFill>
                <a:schemeClr val="tx1"/>
              </a:solidFill>
              <a:prstDash val="sysDash"/>
            </a:ln>
          </c:spPr>
          <c:marker>
            <c:symbol val="circle"/>
            <c:size val="4"/>
            <c:spPr>
              <a:solidFill>
                <a:schemeClr val="tx1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Chla!$N$24:$O$24</c:f>
                <c:numCache>
                  <c:formatCode>General</c:formatCode>
                  <c:ptCount val="2"/>
                  <c:pt idx="0">
                    <c:v>2.5619475151879543E-2</c:v>
                  </c:pt>
                  <c:pt idx="1">
                    <c:v>0.10485222097417744</c:v>
                  </c:pt>
                </c:numCache>
              </c:numRef>
            </c:plus>
            <c:minus>
              <c:numRef>
                <c:f>Chla!$N$24:$O$24</c:f>
                <c:numCache>
                  <c:formatCode>General</c:formatCode>
                  <c:ptCount val="2"/>
                  <c:pt idx="0">
                    <c:v>2.5619475151879543E-2</c:v>
                  </c:pt>
                  <c:pt idx="1">
                    <c:v>0.10485222097417744</c:v>
                  </c:pt>
                </c:numCache>
              </c:numRef>
            </c:minus>
          </c:errBars>
          <c:xVal>
            <c:numRef>
              <c:f>Chla!$N$17:$O$17</c:f>
              <c:numCache>
                <c:formatCode>General</c:formatCode>
                <c:ptCount val="2"/>
                <c:pt idx="0">
                  <c:v>0</c:v>
                </c:pt>
                <c:pt idx="1">
                  <c:v>25.5</c:v>
                </c:pt>
              </c:numCache>
            </c:numRef>
          </c:xVal>
          <c:yVal>
            <c:numRef>
              <c:f>Chla!$N$20:$O$20</c:f>
              <c:numCache>
                <c:formatCode>General</c:formatCode>
                <c:ptCount val="2"/>
                <c:pt idx="0">
                  <c:v>0.94547786666666678</c:v>
                </c:pt>
                <c:pt idx="1">
                  <c:v>0.78138666666666667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22-4D46-BA46-8AC537A92F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905920"/>
        <c:axId val="125920384"/>
      </c:scatterChart>
      <c:valAx>
        <c:axId val="125905920"/>
        <c:scaling>
          <c:orientation val="minMax"/>
          <c:max val="3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Time (h)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crossAx val="125920384"/>
        <c:crosses val="autoZero"/>
        <c:crossBetween val="midCat"/>
        <c:majorUnit val="10"/>
      </c:valAx>
      <c:valAx>
        <c:axId val="1259203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5905920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5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Chla!$S$18</c:f>
              <c:strCache>
                <c:ptCount val="1"/>
                <c:pt idx="0">
                  <c:v>SW+L</c:v>
                </c:pt>
              </c:strCache>
            </c:strRef>
          </c:tx>
          <c:spPr>
            <a:ln w="28575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tx1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Chla!$T$22:$U$22</c:f>
                <c:numCache>
                  <c:formatCode>General</c:formatCode>
                  <c:ptCount val="2"/>
                  <c:pt idx="0">
                    <c:v>0.4253177421302064</c:v>
                  </c:pt>
                  <c:pt idx="1">
                    <c:v>0.24083162300288613</c:v>
                  </c:pt>
                </c:numCache>
              </c:numRef>
            </c:plus>
            <c:minus>
              <c:numRef>
                <c:f>Chla!$T$22:$U$22</c:f>
                <c:numCache>
                  <c:formatCode>General</c:formatCode>
                  <c:ptCount val="2"/>
                  <c:pt idx="0">
                    <c:v>0.4253177421302064</c:v>
                  </c:pt>
                  <c:pt idx="1">
                    <c:v>0.24083162300288613</c:v>
                  </c:pt>
                </c:numCache>
              </c:numRef>
            </c:minus>
          </c:errBars>
          <c:xVal>
            <c:numRef>
              <c:f>Chla!$T$17:$U$17</c:f>
              <c:numCache>
                <c:formatCode>General</c:formatCode>
                <c:ptCount val="2"/>
                <c:pt idx="0">
                  <c:v>0</c:v>
                </c:pt>
                <c:pt idx="1">
                  <c:v>25.5</c:v>
                </c:pt>
              </c:numCache>
            </c:numRef>
          </c:xVal>
          <c:yVal>
            <c:numRef>
              <c:f>Chla!$T$18:$U$18</c:f>
              <c:numCache>
                <c:formatCode>General</c:formatCode>
                <c:ptCount val="2"/>
                <c:pt idx="0">
                  <c:v>5.7705405333333344</c:v>
                </c:pt>
                <c:pt idx="1">
                  <c:v>5.5224502666666675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98-4D63-AB22-7C44ED495F44}"/>
            </c:ext>
          </c:extLst>
        </c:ser>
        <c:ser>
          <c:idx val="2"/>
          <c:order val="1"/>
          <c:tx>
            <c:strRef>
              <c:f>Chla!$S$20</c:f>
              <c:strCache>
                <c:ptCount val="1"/>
                <c:pt idx="0">
                  <c:v>SW</c:v>
                </c:pt>
              </c:strCache>
            </c:strRef>
          </c:tx>
          <c:spPr>
            <a:ln w="28575">
              <a:solidFill>
                <a:schemeClr val="tx1"/>
              </a:solidFill>
              <a:prstDash val="sysDash"/>
            </a:ln>
          </c:spPr>
          <c:marker>
            <c:symbol val="circle"/>
            <c:size val="4"/>
            <c:spPr>
              <a:solidFill>
                <a:schemeClr val="tx1"/>
              </a:solidFill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Chla!$T$24:$U$24</c:f>
                <c:numCache>
                  <c:formatCode>General</c:formatCode>
                  <c:ptCount val="2"/>
                  <c:pt idx="0">
                    <c:v>0.24781324270929905</c:v>
                  </c:pt>
                  <c:pt idx="1">
                    <c:v>0.13390867952279184</c:v>
                  </c:pt>
                </c:numCache>
              </c:numRef>
            </c:plus>
            <c:minus>
              <c:numRef>
                <c:f>Chla!$T$24:$U$24</c:f>
                <c:numCache>
                  <c:formatCode>General</c:formatCode>
                  <c:ptCount val="2"/>
                  <c:pt idx="0">
                    <c:v>0.24781324270929905</c:v>
                  </c:pt>
                  <c:pt idx="1">
                    <c:v>0.13390867952279184</c:v>
                  </c:pt>
                </c:numCache>
              </c:numRef>
            </c:minus>
          </c:errBars>
          <c:xVal>
            <c:numRef>
              <c:f>Chla!$T$17:$U$17</c:f>
              <c:numCache>
                <c:formatCode>General</c:formatCode>
                <c:ptCount val="2"/>
                <c:pt idx="0">
                  <c:v>0</c:v>
                </c:pt>
                <c:pt idx="1">
                  <c:v>25.5</c:v>
                </c:pt>
              </c:numCache>
            </c:numRef>
          </c:xVal>
          <c:yVal>
            <c:numRef>
              <c:f>Chla!$T$20:$U$20</c:f>
              <c:numCache>
                <c:formatCode>General</c:formatCode>
                <c:ptCount val="2"/>
                <c:pt idx="0">
                  <c:v>4.2624642666666679</c:v>
                </c:pt>
                <c:pt idx="1">
                  <c:v>4.4499970666666684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98-4D63-AB22-7C44ED495F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957632"/>
        <c:axId val="125959552"/>
      </c:scatterChart>
      <c:valAx>
        <c:axId val="125957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Time (h)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5959552"/>
        <c:crosses val="autoZero"/>
        <c:crossBetween val="midCat"/>
      </c:valAx>
      <c:valAx>
        <c:axId val="1259595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25957632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 sz="105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2000"/>
            </a:pPr>
            <a:r>
              <a:rPr lang="en-CA"/>
              <a:t>SB</a:t>
            </a:r>
          </a:p>
        </c:rich>
      </c:tx>
      <c:layout>
        <c:manualLayout>
          <c:xMode val="edge"/>
          <c:yMode val="edge"/>
          <c:x val="2.2666666666666658E-2"/>
          <c:y val="2.7777777777777776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Bac!$O$19</c:f>
              <c:strCache>
                <c:ptCount val="1"/>
                <c:pt idx="0">
                  <c:v>SW+L</c:v>
                </c:pt>
              </c:strCache>
            </c:strRef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Bac!$P$23:$S$23</c:f>
                <c:numCache>
                  <c:formatCode>General</c:formatCode>
                  <c:ptCount val="4"/>
                  <c:pt idx="0">
                    <c:v>0.68601448792808994</c:v>
                  </c:pt>
                  <c:pt idx="1">
                    <c:v>1.7866562017577787</c:v>
                  </c:pt>
                  <c:pt idx="2">
                    <c:v>0.94369259462531996</c:v>
                  </c:pt>
                  <c:pt idx="3">
                    <c:v>1.1465730950401856</c:v>
                  </c:pt>
                </c:numCache>
              </c:numRef>
            </c:plus>
            <c:minus>
              <c:numRef>
                <c:f>Bac!$P$23:$S$23</c:f>
                <c:numCache>
                  <c:formatCode>General</c:formatCode>
                  <c:ptCount val="4"/>
                  <c:pt idx="0">
                    <c:v>0.68601448792808994</c:v>
                  </c:pt>
                  <c:pt idx="1">
                    <c:v>1.7866562017577787</c:v>
                  </c:pt>
                  <c:pt idx="2">
                    <c:v>0.94369259462531996</c:v>
                  </c:pt>
                  <c:pt idx="3">
                    <c:v>1.1465730950401856</c:v>
                  </c:pt>
                </c:numCache>
              </c:numRef>
            </c:minus>
          </c:errBars>
          <c:xVal>
            <c:numRef>
              <c:f>Bac!$P$18:$S$18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Bac!$P$19:$S$19</c:f>
              <c:numCache>
                <c:formatCode>0.00</c:formatCode>
                <c:ptCount val="4"/>
                <c:pt idx="0">
                  <c:v>122.87268074216252</c:v>
                </c:pt>
                <c:pt idx="1">
                  <c:v>140.93410108765195</c:v>
                </c:pt>
                <c:pt idx="2">
                  <c:v>180.15355086372361</c:v>
                </c:pt>
                <c:pt idx="3">
                  <c:v>184.79206653870764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CC-4095-8E67-5FA63761812F}"/>
            </c:ext>
          </c:extLst>
        </c:ser>
        <c:ser>
          <c:idx val="1"/>
          <c:order val="1"/>
          <c:tx>
            <c:strRef>
              <c:f>Bac!$O$20</c:f>
              <c:strCache>
                <c:ptCount val="1"/>
                <c:pt idx="0">
                  <c:v>SW+N</c:v>
                </c:pt>
              </c:strCache>
            </c:strRef>
          </c:tx>
          <c:spPr>
            <a:ln w="28575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Bac!$P$24:$S$24</c:f>
                <c:numCache>
                  <c:formatCode>General</c:formatCode>
                  <c:ptCount val="4"/>
                  <c:pt idx="0">
                    <c:v>3.0414914078362378</c:v>
                  </c:pt>
                  <c:pt idx="1">
                    <c:v>14.546884692751721</c:v>
                  </c:pt>
                  <c:pt idx="2">
                    <c:v>7.5313414824228362</c:v>
                  </c:pt>
                  <c:pt idx="3">
                    <c:v>4.9868213929726473</c:v>
                  </c:pt>
                </c:numCache>
              </c:numRef>
            </c:plus>
            <c:minus>
              <c:numRef>
                <c:f>Bac!$P$24:$S$24</c:f>
                <c:numCache>
                  <c:formatCode>General</c:formatCode>
                  <c:ptCount val="4"/>
                  <c:pt idx="0">
                    <c:v>3.0414914078362378</c:v>
                  </c:pt>
                  <c:pt idx="1">
                    <c:v>14.546884692751721</c:v>
                  </c:pt>
                  <c:pt idx="2">
                    <c:v>7.5313414824228362</c:v>
                  </c:pt>
                  <c:pt idx="3">
                    <c:v>4.9868213929726473</c:v>
                  </c:pt>
                </c:numCache>
              </c:numRef>
            </c:minus>
          </c:errBars>
          <c:xVal>
            <c:numRef>
              <c:f>Bac!$P$18:$S$18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Bac!$P$20:$S$20</c:f>
              <c:numCache>
                <c:formatCode>0.00</c:formatCode>
                <c:ptCount val="4"/>
                <c:pt idx="0">
                  <c:v>128.29814459373003</c:v>
                </c:pt>
                <c:pt idx="1">
                  <c:v>194.10748560460652</c:v>
                </c:pt>
                <c:pt idx="2">
                  <c:v>143.0134357005758</c:v>
                </c:pt>
                <c:pt idx="3">
                  <c:v>147.23608445297506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CC-4095-8E67-5FA63761812F}"/>
            </c:ext>
          </c:extLst>
        </c:ser>
        <c:ser>
          <c:idx val="2"/>
          <c:order val="2"/>
          <c:tx>
            <c:strRef>
              <c:f>Bac!$O$21</c:f>
              <c:strCache>
                <c:ptCount val="1"/>
                <c:pt idx="0">
                  <c:v>SW</c:v>
                </c:pt>
              </c:strCache>
            </c:strRef>
          </c:tx>
          <c:spPr>
            <a:ln w="28575">
              <a:solidFill>
                <a:schemeClr val="tx1"/>
              </a:solidFill>
              <a:prstDash val="sys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Bac!$P$25:$S$25</c:f>
                <c:numCache>
                  <c:formatCode>General</c:formatCode>
                  <c:ptCount val="4"/>
                  <c:pt idx="0">
                    <c:v>0.88654941137369903</c:v>
                  </c:pt>
                  <c:pt idx="1">
                    <c:v>28.309308070384176</c:v>
                  </c:pt>
                  <c:pt idx="2">
                    <c:v>4.4377815678543691</c:v>
                  </c:pt>
                  <c:pt idx="3">
                    <c:v>1.2574703534479015</c:v>
                  </c:pt>
                </c:numCache>
              </c:numRef>
            </c:plus>
            <c:minus>
              <c:numRef>
                <c:f>Bac!$P$25:$S$25</c:f>
                <c:numCache>
                  <c:formatCode>General</c:formatCode>
                  <c:ptCount val="4"/>
                  <c:pt idx="0">
                    <c:v>0.88654941137369903</c:v>
                  </c:pt>
                  <c:pt idx="1">
                    <c:v>28.309308070384176</c:v>
                  </c:pt>
                  <c:pt idx="2">
                    <c:v>4.4377815678543691</c:v>
                  </c:pt>
                  <c:pt idx="3">
                    <c:v>1.2574703534479015</c:v>
                  </c:pt>
                </c:numCache>
              </c:numRef>
            </c:minus>
          </c:errBars>
          <c:xVal>
            <c:numRef>
              <c:f>Bac!$P$18:$S$18</c:f>
              <c:numCache>
                <c:formatCode>General</c:formatCode>
                <c:ptCount val="4"/>
                <c:pt idx="0">
                  <c:v>0</c:v>
                </c:pt>
                <c:pt idx="1">
                  <c:v>6.5</c:v>
                </c:pt>
                <c:pt idx="2">
                  <c:v>19.5</c:v>
                </c:pt>
                <c:pt idx="3">
                  <c:v>25.5</c:v>
                </c:pt>
              </c:numCache>
            </c:numRef>
          </c:xVal>
          <c:yVal>
            <c:numRef>
              <c:f>Bac!$P$21:$S$21</c:f>
              <c:numCache>
                <c:formatCode>0.00</c:formatCode>
                <c:ptCount val="4"/>
                <c:pt idx="0">
                  <c:v>119.11068458093409</c:v>
                </c:pt>
                <c:pt idx="1">
                  <c:v>209.06589891234805</c:v>
                </c:pt>
                <c:pt idx="2">
                  <c:v>131.84261036468328</c:v>
                </c:pt>
                <c:pt idx="3">
                  <c:v>133.03902751119642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5CC-4095-8E67-5FA6376181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678528"/>
        <c:axId val="124680448"/>
      </c:scatterChart>
      <c:valAx>
        <c:axId val="12467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Time (h)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4680448"/>
        <c:crosses val="autoZero"/>
        <c:crossBetween val="midCat"/>
      </c:valAx>
      <c:valAx>
        <c:axId val="1246804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Bacteria (x10</a:t>
                </a:r>
                <a:r>
                  <a:rPr lang="en-CA" baseline="30000"/>
                  <a:t>5</a:t>
                </a:r>
                <a:r>
                  <a:rPr lang="en-CA" baseline="0"/>
                  <a:t> ml</a:t>
                </a:r>
                <a:r>
                  <a:rPr lang="en-CA" baseline="30000"/>
                  <a:t>-1</a:t>
                </a:r>
                <a:r>
                  <a:rPr lang="en-CA" baseline="0"/>
                  <a:t>)</a:t>
                </a:r>
                <a:endParaRPr lang="en-CA"/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crossAx val="1246785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371474</xdr:colOff>
      <xdr:row>0</xdr:row>
      <xdr:rowOff>173354</xdr:rowOff>
    </xdr:from>
    <xdr:to>
      <xdr:col>14</xdr:col>
      <xdr:colOff>400049</xdr:colOff>
      <xdr:row>10</xdr:row>
      <xdr:rowOff>114299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285750</xdr:colOff>
      <xdr:row>12</xdr:row>
      <xdr:rowOff>180975</xdr:rowOff>
    </xdr:from>
    <xdr:to>
      <xdr:col>23</xdr:col>
      <xdr:colOff>590550</xdr:colOff>
      <xdr:row>27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266700</xdr:colOff>
      <xdr:row>27</xdr:row>
      <xdr:rowOff>152400</xdr:rowOff>
    </xdr:from>
    <xdr:to>
      <xdr:col>23</xdr:col>
      <xdr:colOff>571500</xdr:colOff>
      <xdr:row>42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219075</xdr:colOff>
      <xdr:row>25</xdr:row>
      <xdr:rowOff>142875</xdr:rowOff>
    </xdr:from>
    <xdr:to>
      <xdr:col>18</xdr:col>
      <xdr:colOff>523875</xdr:colOff>
      <xdr:row>40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57150</xdr:colOff>
      <xdr:row>26</xdr:row>
      <xdr:rowOff>66675</xdr:rowOff>
    </xdr:from>
    <xdr:to>
      <xdr:col>26</xdr:col>
      <xdr:colOff>361950</xdr:colOff>
      <xdr:row>40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171450</xdr:colOff>
      <xdr:row>4</xdr:row>
      <xdr:rowOff>180975</xdr:rowOff>
    </xdr:from>
    <xdr:to>
      <xdr:col>35</xdr:col>
      <xdr:colOff>476250</xdr:colOff>
      <xdr:row>19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161925</xdr:colOff>
      <xdr:row>44</xdr:row>
      <xdr:rowOff>119062</xdr:rowOff>
    </xdr:from>
    <xdr:to>
      <xdr:col>18</xdr:col>
      <xdr:colOff>466725</xdr:colOff>
      <xdr:row>59</xdr:row>
      <xdr:rowOff>4762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171450</xdr:colOff>
      <xdr:row>44</xdr:row>
      <xdr:rowOff>23812</xdr:rowOff>
    </xdr:from>
    <xdr:to>
      <xdr:col>26</xdr:col>
      <xdr:colOff>476250</xdr:colOff>
      <xdr:row>58</xdr:row>
      <xdr:rowOff>100012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333375</xdr:colOff>
      <xdr:row>26</xdr:row>
      <xdr:rowOff>180975</xdr:rowOff>
    </xdr:from>
    <xdr:to>
      <xdr:col>21</xdr:col>
      <xdr:colOff>28575</xdr:colOff>
      <xdr:row>41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200025</xdr:colOff>
      <xdr:row>28</xdr:row>
      <xdr:rowOff>180975</xdr:rowOff>
    </xdr:from>
    <xdr:to>
      <xdr:col>28</xdr:col>
      <xdr:colOff>504825</xdr:colOff>
      <xdr:row>43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104775</xdr:colOff>
      <xdr:row>15</xdr:row>
      <xdr:rowOff>133350</xdr:rowOff>
    </xdr:from>
    <xdr:to>
      <xdr:col>30</xdr:col>
      <xdr:colOff>409575</xdr:colOff>
      <xdr:row>30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57150</xdr:colOff>
      <xdr:row>30</xdr:row>
      <xdr:rowOff>161925</xdr:rowOff>
    </xdr:from>
    <xdr:to>
      <xdr:col>29</xdr:col>
      <xdr:colOff>361950</xdr:colOff>
      <xdr:row>45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438150</xdr:colOff>
      <xdr:row>4</xdr:row>
      <xdr:rowOff>142875</xdr:rowOff>
    </xdr:from>
    <xdr:to>
      <xdr:col>28</xdr:col>
      <xdr:colOff>133350</xdr:colOff>
      <xdr:row>19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447675</xdr:colOff>
      <xdr:row>20</xdr:row>
      <xdr:rowOff>142875</xdr:rowOff>
    </xdr:from>
    <xdr:to>
      <xdr:col>28</xdr:col>
      <xdr:colOff>142875</xdr:colOff>
      <xdr:row>35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57150</xdr:colOff>
      <xdr:row>38</xdr:row>
      <xdr:rowOff>38100</xdr:rowOff>
    </xdr:from>
    <xdr:to>
      <xdr:col>30</xdr:col>
      <xdr:colOff>361950</xdr:colOff>
      <xdr:row>55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333375</xdr:colOff>
      <xdr:row>42</xdr:row>
      <xdr:rowOff>61912</xdr:rowOff>
    </xdr:from>
    <xdr:to>
      <xdr:col>40</xdr:col>
      <xdr:colOff>28575</xdr:colOff>
      <xdr:row>56</xdr:row>
      <xdr:rowOff>138112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1"/>
  <sheetViews>
    <sheetView tabSelected="1" workbookViewId="0">
      <selection activeCell="B19" sqref="B19"/>
    </sheetView>
  </sheetViews>
  <sheetFormatPr defaultRowHeight="15"/>
  <cols>
    <col min="1" max="1" width="12.7109375" customWidth="1"/>
    <col min="2" max="2" width="11.5703125" bestFit="1" customWidth="1"/>
  </cols>
  <sheetData>
    <row r="1" spans="1:3">
      <c r="A1" s="1" t="s">
        <v>27</v>
      </c>
    </row>
    <row r="3" spans="1:3">
      <c r="A3" s="1" t="s">
        <v>10</v>
      </c>
    </row>
    <row r="4" spans="1:3">
      <c r="A4" t="s">
        <v>28</v>
      </c>
      <c r="B4" t="s">
        <v>29</v>
      </c>
    </row>
    <row r="5" spans="1:3">
      <c r="A5" t="s">
        <v>30</v>
      </c>
      <c r="B5" s="2">
        <v>41512</v>
      </c>
    </row>
    <row r="6" spans="1:3">
      <c r="A6" t="s">
        <v>4</v>
      </c>
      <c r="B6" t="s">
        <v>51</v>
      </c>
    </row>
    <row r="7" spans="1:3">
      <c r="A7" t="s">
        <v>41</v>
      </c>
      <c r="B7" t="s">
        <v>42</v>
      </c>
    </row>
    <row r="8" spans="1:3">
      <c r="A8" t="s">
        <v>31</v>
      </c>
      <c r="B8">
        <v>20.2</v>
      </c>
      <c r="C8" t="s">
        <v>18</v>
      </c>
    </row>
    <row r="9" spans="1:3">
      <c r="A9" t="s">
        <v>32</v>
      </c>
      <c r="B9">
        <v>29</v>
      </c>
      <c r="C9" t="s">
        <v>55</v>
      </c>
    </row>
    <row r="10" spans="1:3" s="12" customFormat="1">
      <c r="A10" s="12" t="s">
        <v>446</v>
      </c>
      <c r="B10" s="12">
        <f>Chla!N20</f>
        <v>0.94547786666666678</v>
      </c>
    </row>
    <row r="11" spans="1:3">
      <c r="A11" t="s">
        <v>33</v>
      </c>
    </row>
    <row r="12" spans="1:3">
      <c r="A12" t="s">
        <v>34</v>
      </c>
    </row>
    <row r="13" spans="1:3">
      <c r="A13" t="s">
        <v>35</v>
      </c>
    </row>
    <row r="14" spans="1:3">
      <c r="A14" t="s">
        <v>52</v>
      </c>
      <c r="B14">
        <v>8.3977576297255732E-2</v>
      </c>
      <c r="C14" t="s">
        <v>54</v>
      </c>
    </row>
    <row r="15" spans="1:3">
      <c r="A15" t="s">
        <v>36</v>
      </c>
      <c r="B15" s="16">
        <f>Bac!$P$21*100000</f>
        <v>11911068.458093408</v>
      </c>
    </row>
    <row r="16" spans="1:3">
      <c r="A16" t="s">
        <v>37</v>
      </c>
      <c r="B16" s="16">
        <f>AVERAGE(Virus!Q15:Q17)*1000000</f>
        <v>63087012.156110041</v>
      </c>
    </row>
    <row r="17" spans="1:3">
      <c r="A17" t="s">
        <v>38</v>
      </c>
      <c r="B17" s="16">
        <f>PP!$N$30*10000</f>
        <v>16582.446808510635</v>
      </c>
    </row>
    <row r="18" spans="1:3">
      <c r="A18" t="s">
        <v>39</v>
      </c>
      <c r="B18" t="s">
        <v>448</v>
      </c>
    </row>
    <row r="20" spans="1:3">
      <c r="A20" s="1" t="s">
        <v>16</v>
      </c>
    </row>
    <row r="21" spans="1:3">
      <c r="A21" t="s">
        <v>28</v>
      </c>
      <c r="B21" t="s">
        <v>40</v>
      </c>
    </row>
    <row r="22" spans="1:3">
      <c r="A22" t="s">
        <v>30</v>
      </c>
      <c r="B22" s="2">
        <v>41513</v>
      </c>
    </row>
    <row r="23" spans="1:3">
      <c r="A23" t="s">
        <v>4</v>
      </c>
      <c r="B23" t="s">
        <v>53</v>
      </c>
    </row>
    <row r="24" spans="1:3">
      <c r="A24" t="s">
        <v>41</v>
      </c>
      <c r="B24" t="s">
        <v>43</v>
      </c>
    </row>
    <row r="25" spans="1:3">
      <c r="A25" t="s">
        <v>31</v>
      </c>
      <c r="B25">
        <v>19.5</v>
      </c>
      <c r="C25" t="s">
        <v>18</v>
      </c>
    </row>
    <row r="26" spans="1:3">
      <c r="A26" t="s">
        <v>32</v>
      </c>
      <c r="B26">
        <v>21</v>
      </c>
      <c r="C26" t="s">
        <v>55</v>
      </c>
    </row>
    <row r="27" spans="1:3" s="12" customFormat="1">
      <c r="A27" s="12" t="s">
        <v>446</v>
      </c>
      <c r="B27" s="12">
        <f>Chla!T20</f>
        <v>4.2624642666666679</v>
      </c>
    </row>
    <row r="28" spans="1:3">
      <c r="A28" t="s">
        <v>33</v>
      </c>
    </row>
    <row r="29" spans="1:3">
      <c r="A29" t="s">
        <v>34</v>
      </c>
    </row>
    <row r="30" spans="1:3">
      <c r="A30" t="s">
        <v>35</v>
      </c>
    </row>
    <row r="31" spans="1:3">
      <c r="A31" t="s">
        <v>52</v>
      </c>
      <c r="B31">
        <v>0.11291791467659679</v>
      </c>
      <c r="C31" t="s">
        <v>54</v>
      </c>
    </row>
    <row r="32" spans="1:3">
      <c r="A32" t="s">
        <v>36</v>
      </c>
      <c r="B32" s="16">
        <f>Bac!$V$21*100000</f>
        <v>1441586.6922584774</v>
      </c>
    </row>
    <row r="33" spans="1:4">
      <c r="A33" t="s">
        <v>37</v>
      </c>
      <c r="B33" s="16">
        <f>AVERAGE(Virus!Q26:Q28)*1000000</f>
        <v>27609724.888035826</v>
      </c>
    </row>
    <row r="34" spans="1:4">
      <c r="A34" t="s">
        <v>38</v>
      </c>
      <c r="B34" s="16">
        <f>PP!$N$33*10000</f>
        <v>18767.7304964539</v>
      </c>
    </row>
    <row r="35" spans="1:4">
      <c r="A35" t="s">
        <v>39</v>
      </c>
      <c r="B35" t="s">
        <v>447</v>
      </c>
    </row>
    <row r="37" spans="1:4">
      <c r="A37" s="1" t="s">
        <v>44</v>
      </c>
    </row>
    <row r="38" spans="1:4">
      <c r="A38" t="s">
        <v>13</v>
      </c>
      <c r="B38" s="2">
        <v>41513</v>
      </c>
      <c r="C38" t="s">
        <v>45</v>
      </c>
      <c r="D38">
        <v>0</v>
      </c>
    </row>
    <row r="39" spans="1:4">
      <c r="A39" t="s">
        <v>19</v>
      </c>
      <c r="B39" s="2">
        <v>41513</v>
      </c>
      <c r="C39" t="s">
        <v>46</v>
      </c>
      <c r="D39">
        <v>6.5</v>
      </c>
    </row>
    <row r="40" spans="1:4">
      <c r="A40" t="s">
        <v>20</v>
      </c>
      <c r="B40" s="2">
        <v>41514</v>
      </c>
      <c r="C40" t="s">
        <v>47</v>
      </c>
      <c r="D40">
        <f>D39+13</f>
        <v>19.5</v>
      </c>
    </row>
    <row r="41" spans="1:4">
      <c r="A41" t="s">
        <v>21</v>
      </c>
      <c r="B41" s="2">
        <v>41514</v>
      </c>
      <c r="C41" t="s">
        <v>48</v>
      </c>
      <c r="D41">
        <v>25.5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67"/>
  <sheetViews>
    <sheetView workbookViewId="0">
      <selection activeCell="K50" sqref="K50"/>
    </sheetView>
  </sheetViews>
  <sheetFormatPr defaultRowHeight="15"/>
  <cols>
    <col min="1" max="2" width="10.42578125" customWidth="1"/>
  </cols>
  <sheetData>
    <row r="1" spans="1:17">
      <c r="A1" s="1" t="s">
        <v>22</v>
      </c>
    </row>
    <row r="2" spans="1:17">
      <c r="D2" t="s">
        <v>12</v>
      </c>
      <c r="E2" t="s">
        <v>17</v>
      </c>
      <c r="F2" t="s">
        <v>23</v>
      </c>
    </row>
    <row r="3" spans="1:17">
      <c r="C3">
        <v>0</v>
      </c>
      <c r="D3">
        <v>29.5</v>
      </c>
      <c r="E3">
        <v>30</v>
      </c>
      <c r="F3">
        <f>AVERAGE(D3:E3)</f>
        <v>29.75</v>
      </c>
    </row>
    <row r="4" spans="1:17">
      <c r="C4">
        <v>0.1</v>
      </c>
      <c r="D4">
        <v>73.900000000000006</v>
      </c>
      <c r="E4">
        <v>77.2</v>
      </c>
      <c r="F4">
        <f>AVERAGE(D4:E4)</f>
        <v>75.550000000000011</v>
      </c>
      <c r="P4" t="s">
        <v>25</v>
      </c>
      <c r="Q4">
        <v>494.12</v>
      </c>
    </row>
    <row r="5" spans="1:17">
      <c r="C5">
        <v>0.25</v>
      </c>
      <c r="D5">
        <v>142.5</v>
      </c>
      <c r="E5">
        <v>146.69999999999999</v>
      </c>
      <c r="F5">
        <f>AVERAGE(D5:E5)</f>
        <v>144.6</v>
      </c>
      <c r="P5" t="s">
        <v>26</v>
      </c>
      <c r="Q5">
        <v>21.704999999999998</v>
      </c>
    </row>
    <row r="6" spans="1:17">
      <c r="C6">
        <v>0.5</v>
      </c>
      <c r="D6">
        <v>245.6</v>
      </c>
      <c r="E6">
        <v>245.7</v>
      </c>
      <c r="F6">
        <f>AVERAGE(D6:E6)</f>
        <v>245.64999999999998</v>
      </c>
    </row>
    <row r="7" spans="1:17">
      <c r="C7">
        <v>1</v>
      </c>
      <c r="D7">
        <v>499.9</v>
      </c>
      <c r="E7">
        <v>554.29999999999995</v>
      </c>
      <c r="F7">
        <f>AVERAGE(D7:E7)</f>
        <v>527.09999999999991</v>
      </c>
    </row>
    <row r="8" spans="1:17">
      <c r="C8">
        <v>5</v>
      </c>
    </row>
    <row r="9" spans="1:17">
      <c r="C9">
        <v>10</v>
      </c>
    </row>
    <row r="13" spans="1:17">
      <c r="A13" t="s">
        <v>10</v>
      </c>
    </row>
    <row r="14" spans="1:17">
      <c r="A14" t="s">
        <v>2</v>
      </c>
      <c r="B14" t="s">
        <v>4</v>
      </c>
      <c r="C14" t="s">
        <v>12</v>
      </c>
      <c r="D14" t="s">
        <v>17</v>
      </c>
      <c r="E14" t="s">
        <v>18</v>
      </c>
      <c r="F14" t="s">
        <v>12</v>
      </c>
      <c r="G14" t="s">
        <v>17</v>
      </c>
      <c r="H14" t="s">
        <v>18</v>
      </c>
      <c r="I14" t="s">
        <v>23</v>
      </c>
      <c r="J14" t="s">
        <v>24</v>
      </c>
    </row>
    <row r="15" spans="1:17">
      <c r="A15" t="s">
        <v>11</v>
      </c>
      <c r="B15" t="s">
        <v>13</v>
      </c>
      <c r="C15">
        <v>48.5</v>
      </c>
      <c r="D15">
        <v>47.9</v>
      </c>
      <c r="E15">
        <v>46.5</v>
      </c>
      <c r="F15">
        <f>(C15-$Q$5)/$Q$4</f>
        <v>5.4227717963247796E-2</v>
      </c>
      <c r="G15">
        <f>(D15-$Q$5)/$Q$4</f>
        <v>5.3013438031247473E-2</v>
      </c>
      <c r="H15">
        <f>(E15-$Q$5)/$Q$4</f>
        <v>5.0180118189913386E-2</v>
      </c>
      <c r="I15">
        <f>AVERAGE(F15:H15)</f>
        <v>5.2473758061469554E-2</v>
      </c>
      <c r="J15">
        <f>STDEV(F15:H15)</f>
        <v>2.0770668823147736E-3</v>
      </c>
    </row>
    <row r="16" spans="1:17">
      <c r="A16" t="s">
        <v>14</v>
      </c>
      <c r="B16" t="s">
        <v>13</v>
      </c>
      <c r="C16">
        <v>519.4</v>
      </c>
      <c r="D16">
        <v>354.1</v>
      </c>
      <c r="E16">
        <v>377.1</v>
      </c>
      <c r="F16">
        <f t="shared" ref="F16:F41" si="0">(C16-$Q$5)/$Q$4</f>
        <v>1.0072350845948352</v>
      </c>
      <c r="G16">
        <f t="shared" ref="G16:G41" si="1">(D16-$Q$5)/$Q$4</f>
        <v>0.67270096332874607</v>
      </c>
      <c r="H16">
        <f t="shared" ref="H16:H41" si="2">(E16-$Q$5)/$Q$4</f>
        <v>0.71924836072209186</v>
      </c>
      <c r="I16">
        <f t="shared" ref="I16:I26" si="3">AVERAGE(F16:H16)</f>
        <v>0.79972813621522432</v>
      </c>
      <c r="J16">
        <f t="shared" ref="J16:J26" si="4">STDEV(F16:H16)</f>
        <v>0.18120710601515494</v>
      </c>
      <c r="L16" t="s">
        <v>49</v>
      </c>
      <c r="M16">
        <v>0</v>
      </c>
      <c r="N16">
        <v>6.5</v>
      </c>
      <c r="O16">
        <f>N16+13</f>
        <v>19.5</v>
      </c>
      <c r="P16">
        <v>25.5</v>
      </c>
    </row>
    <row r="17" spans="1:16">
      <c r="A17" t="s">
        <v>15</v>
      </c>
      <c r="B17" t="s">
        <v>13</v>
      </c>
      <c r="C17">
        <v>72.400000000000006</v>
      </c>
      <c r="D17">
        <v>62.9</v>
      </c>
      <c r="E17">
        <v>54.3</v>
      </c>
      <c r="F17">
        <f t="shared" si="0"/>
        <v>0.10259653525459404</v>
      </c>
      <c r="G17">
        <f t="shared" si="1"/>
        <v>8.3370436331255571E-2</v>
      </c>
      <c r="H17">
        <f t="shared" si="2"/>
        <v>6.5965757305917583E-2</v>
      </c>
      <c r="I17">
        <f t="shared" si="3"/>
        <v>8.3977576297255732E-2</v>
      </c>
      <c r="J17">
        <f t="shared" si="4"/>
        <v>1.8322934739965765E-2</v>
      </c>
      <c r="L17" t="str">
        <f>A15</f>
        <v>SW+L</v>
      </c>
      <c r="M17">
        <f>I15</f>
        <v>5.2473758061469554E-2</v>
      </c>
      <c r="N17">
        <f>I18</f>
        <v>4.8358698291912895E-2</v>
      </c>
      <c r="O17">
        <f>I21</f>
        <v>5.4025337974581068E-2</v>
      </c>
      <c r="P17">
        <f>I24</f>
        <v>5.1529318114358187E-2</v>
      </c>
    </row>
    <row r="18" spans="1:16">
      <c r="A18" t="s">
        <v>11</v>
      </c>
      <c r="B18" t="s">
        <v>19</v>
      </c>
      <c r="C18">
        <v>57.8</v>
      </c>
      <c r="D18">
        <v>41</v>
      </c>
      <c r="E18">
        <v>38</v>
      </c>
      <c r="F18">
        <f t="shared" si="0"/>
        <v>7.3049056909252813E-2</v>
      </c>
      <c r="G18">
        <f t="shared" si="1"/>
        <v>3.9049218813243747E-2</v>
      </c>
      <c r="H18">
        <f t="shared" si="2"/>
        <v>3.2977819153242133E-2</v>
      </c>
      <c r="I18">
        <f t="shared" si="3"/>
        <v>4.8358698291912895E-2</v>
      </c>
      <c r="J18">
        <f t="shared" si="4"/>
        <v>2.1596893988430493E-2</v>
      </c>
      <c r="L18" t="str">
        <f>A16</f>
        <v>SW+N</v>
      </c>
      <c r="M18">
        <f>I16</f>
        <v>0.79972813621522432</v>
      </c>
      <c r="N18">
        <f>I19</f>
        <v>0.40812285814511995</v>
      </c>
      <c r="O18">
        <f>I22</f>
        <v>0.10448541514881675</v>
      </c>
      <c r="P18">
        <f>I25</f>
        <v>8.1144256455921632E-2</v>
      </c>
    </row>
    <row r="19" spans="1:16">
      <c r="A19" t="s">
        <v>14</v>
      </c>
      <c r="B19" t="s">
        <v>19</v>
      </c>
      <c r="C19">
        <v>208.5</v>
      </c>
      <c r="D19">
        <v>194.6</v>
      </c>
      <c r="E19">
        <v>267</v>
      </c>
      <c r="F19">
        <f t="shared" si="0"/>
        <v>0.37803569983000085</v>
      </c>
      <c r="G19">
        <f t="shared" si="1"/>
        <v>0.34990488140532661</v>
      </c>
      <c r="H19">
        <f t="shared" si="2"/>
        <v>0.49642799320003239</v>
      </c>
      <c r="I19">
        <f t="shared" si="3"/>
        <v>0.40812285814511995</v>
      </c>
      <c r="J19">
        <f t="shared" si="4"/>
        <v>7.7757207988135915E-2</v>
      </c>
      <c r="L19" t="str">
        <f>A17</f>
        <v>SW</v>
      </c>
      <c r="M19">
        <f>I17</f>
        <v>8.3977576297255732E-2</v>
      </c>
      <c r="N19">
        <f>I20</f>
        <v>6.1176097574138534E-2</v>
      </c>
      <c r="O19">
        <f>I23</f>
        <v>6.3469737445694716E-2</v>
      </c>
      <c r="P19">
        <f>I26</f>
        <v>5.3283278016136436E-2</v>
      </c>
    </row>
    <row r="20" spans="1:16">
      <c r="A20" t="s">
        <v>15</v>
      </c>
      <c r="B20" t="s">
        <v>19</v>
      </c>
      <c r="C20">
        <v>67</v>
      </c>
      <c r="D20">
        <v>45.6</v>
      </c>
      <c r="E20">
        <v>43.2</v>
      </c>
      <c r="F20">
        <f t="shared" si="0"/>
        <v>9.166801586659111E-2</v>
      </c>
      <c r="G20">
        <f t="shared" si="1"/>
        <v>4.8358698291912902E-2</v>
      </c>
      <c r="H20">
        <f t="shared" si="2"/>
        <v>4.3501578563911611E-2</v>
      </c>
      <c r="I20">
        <f t="shared" si="3"/>
        <v>6.1176097574138534E-2</v>
      </c>
      <c r="J20">
        <f t="shared" si="4"/>
        <v>2.6518214756620376E-2</v>
      </c>
    </row>
    <row r="21" spans="1:16">
      <c r="A21" t="s">
        <v>11</v>
      </c>
      <c r="B21" t="s">
        <v>20</v>
      </c>
      <c r="C21">
        <v>56.4</v>
      </c>
      <c r="D21">
        <v>47.4</v>
      </c>
      <c r="E21">
        <v>41.4</v>
      </c>
      <c r="F21">
        <f t="shared" si="0"/>
        <v>7.0215737067918726E-2</v>
      </c>
      <c r="G21">
        <f t="shared" si="1"/>
        <v>5.2001538087913871E-2</v>
      </c>
      <c r="H21">
        <f t="shared" si="2"/>
        <v>3.9858738767910629E-2</v>
      </c>
      <c r="I21">
        <f t="shared" si="3"/>
        <v>5.4025337974581068E-2</v>
      </c>
      <c r="J21">
        <f t="shared" si="4"/>
        <v>1.5279354074457154E-2</v>
      </c>
      <c r="L21" t="s">
        <v>50</v>
      </c>
      <c r="M21">
        <f>M16</f>
        <v>0</v>
      </c>
      <c r="N21">
        <f>N16</f>
        <v>6.5</v>
      </c>
      <c r="O21">
        <f>O16</f>
        <v>19.5</v>
      </c>
      <c r="P21">
        <f>P16</f>
        <v>25.5</v>
      </c>
    </row>
    <row r="22" spans="1:16">
      <c r="A22" t="s">
        <v>14</v>
      </c>
      <c r="B22" t="s">
        <v>20</v>
      </c>
      <c r="C22">
        <v>62.8</v>
      </c>
      <c r="D22">
        <v>43.7</v>
      </c>
      <c r="E22">
        <v>113.5</v>
      </c>
      <c r="F22">
        <f t="shared" si="0"/>
        <v>8.3168056342588836E-2</v>
      </c>
      <c r="G22">
        <f t="shared" si="1"/>
        <v>4.4513478507245213E-2</v>
      </c>
      <c r="H22">
        <f t="shared" si="2"/>
        <v>0.18577471059661621</v>
      </c>
      <c r="I22">
        <f t="shared" si="3"/>
        <v>0.10448541514881675</v>
      </c>
      <c r="J22">
        <f t="shared" si="4"/>
        <v>7.3003467470435165E-2</v>
      </c>
      <c r="L22" t="str">
        <f>L17</f>
        <v>SW+L</v>
      </c>
      <c r="M22">
        <f>J15/(SQRT(3))</f>
        <v>1.1991951236292914E-3</v>
      </c>
      <c r="N22">
        <f>J18/(SQRT(3))</f>
        <v>1.2468972557880155E-2</v>
      </c>
      <c r="O22">
        <f>J21/(SQRT(3))</f>
        <v>8.8215391879314445E-3</v>
      </c>
      <c r="P22">
        <f>J24/(SQRT(3))</f>
        <v>1.9282233638193748E-3</v>
      </c>
    </row>
    <row r="23" spans="1:16">
      <c r="A23" t="s">
        <v>15</v>
      </c>
      <c r="B23" t="s">
        <v>20</v>
      </c>
      <c r="C23">
        <v>68.7</v>
      </c>
      <c r="D23">
        <v>46.7</v>
      </c>
      <c r="E23">
        <v>43.8</v>
      </c>
      <c r="F23">
        <f t="shared" si="0"/>
        <v>9.5108475673925372E-2</v>
      </c>
      <c r="G23">
        <f t="shared" si="1"/>
        <v>5.0584878167246834E-2</v>
      </c>
      <c r="H23">
        <f t="shared" si="2"/>
        <v>4.471585849591192E-2</v>
      </c>
      <c r="I23">
        <f t="shared" si="3"/>
        <v>6.3469737445694716E-2</v>
      </c>
      <c r="J23">
        <f t="shared" si="4"/>
        <v>2.7556644670233481E-2</v>
      </c>
      <c r="L23" t="str">
        <f>L18</f>
        <v>SW+N</v>
      </c>
      <c r="M23">
        <f>J16/(SQRT(3))</f>
        <v>0.10461997143692277</v>
      </c>
      <c r="N23">
        <f>J19/(SQRT(3))</f>
        <v>4.4893144963383994E-2</v>
      </c>
      <c r="O23">
        <f>J22/(SQRT(3))</f>
        <v>4.2148571595831831E-2</v>
      </c>
      <c r="P23">
        <f>J25/(SQRT(3))</f>
        <v>2.3824460166775016E-2</v>
      </c>
    </row>
    <row r="24" spans="1:16">
      <c r="A24" t="s">
        <v>11</v>
      </c>
      <c r="B24" t="s">
        <v>21</v>
      </c>
      <c r="C24">
        <v>48.8</v>
      </c>
      <c r="D24">
        <v>47.2</v>
      </c>
      <c r="E24">
        <v>45.5</v>
      </c>
      <c r="F24">
        <f t="shared" si="0"/>
        <v>5.483485792924795E-2</v>
      </c>
      <c r="G24">
        <f t="shared" si="1"/>
        <v>5.1596778110580437E-2</v>
      </c>
      <c r="H24">
        <f t="shared" si="2"/>
        <v>4.8156318303246175E-2</v>
      </c>
      <c r="I24">
        <f t="shared" si="3"/>
        <v>5.1529318114358187E-2</v>
      </c>
      <c r="J24">
        <f t="shared" si="4"/>
        <v>3.3397808344765249E-3</v>
      </c>
      <c r="L24" t="str">
        <f>L19</f>
        <v>SW</v>
      </c>
      <c r="M24">
        <f>J17/(SQRT(3))</f>
        <v>1.0578751304463181E-2</v>
      </c>
      <c r="N24">
        <f>J20/(SQRT(3))</f>
        <v>1.5310298428163081E-2</v>
      </c>
      <c r="O24">
        <f>J23/(SQRT(3))</f>
        <v>1.5909836218322166E-2</v>
      </c>
      <c r="P24">
        <f>J26/(SQRT(3))</f>
        <v>5.2674983718637774E-3</v>
      </c>
    </row>
    <row r="25" spans="1:16">
      <c r="A25" t="s">
        <v>14</v>
      </c>
      <c r="B25" t="s">
        <v>21</v>
      </c>
      <c r="C25">
        <v>48.8</v>
      </c>
      <c r="D25">
        <v>51.3</v>
      </c>
      <c r="E25">
        <v>85.3</v>
      </c>
      <c r="F25">
        <f t="shared" si="0"/>
        <v>5.483485792924795E-2</v>
      </c>
      <c r="G25">
        <f t="shared" si="1"/>
        <v>5.9894357645915969E-2</v>
      </c>
      <c r="H25">
        <f t="shared" si="2"/>
        <v>0.12870355379260098</v>
      </c>
      <c r="I25">
        <f t="shared" si="3"/>
        <v>8.1144256455921632E-2</v>
      </c>
      <c r="J25">
        <f t="shared" si="4"/>
        <v>4.1265175471755212E-2</v>
      </c>
    </row>
    <row r="26" spans="1:16">
      <c r="A26" t="s">
        <v>15</v>
      </c>
      <c r="B26" t="s">
        <v>21</v>
      </c>
      <c r="C26">
        <v>52.9</v>
      </c>
      <c r="D26">
        <v>47.2</v>
      </c>
      <c r="E26">
        <v>44</v>
      </c>
      <c r="F26">
        <f t="shared" si="0"/>
        <v>6.3132437464583496E-2</v>
      </c>
      <c r="G26">
        <f t="shared" si="1"/>
        <v>5.1596778110580437E-2</v>
      </c>
      <c r="H26">
        <f t="shared" si="2"/>
        <v>4.5120618473245368E-2</v>
      </c>
      <c r="I26">
        <f t="shared" si="3"/>
        <v>5.3283278016136436E-2</v>
      </c>
      <c r="J26">
        <f t="shared" si="4"/>
        <v>9.1235748088544007E-3</v>
      </c>
    </row>
    <row r="28" spans="1:16">
      <c r="A28" t="s">
        <v>16</v>
      </c>
    </row>
    <row r="29" spans="1:16">
      <c r="A29" t="s">
        <v>2</v>
      </c>
      <c r="B29" t="s">
        <v>4</v>
      </c>
      <c r="C29" t="s">
        <v>12</v>
      </c>
      <c r="D29" t="s">
        <v>17</v>
      </c>
      <c r="E29" t="s">
        <v>18</v>
      </c>
      <c r="F29" t="s">
        <v>12</v>
      </c>
      <c r="G29" t="s">
        <v>17</v>
      </c>
      <c r="H29" t="s">
        <v>18</v>
      </c>
      <c r="I29" t="s">
        <v>23</v>
      </c>
      <c r="J29" t="s">
        <v>24</v>
      </c>
    </row>
    <row r="30" spans="1:16">
      <c r="A30" t="s">
        <v>11</v>
      </c>
      <c r="B30" t="s">
        <v>13</v>
      </c>
      <c r="C30">
        <v>128.19999999999999</v>
      </c>
      <c r="D30">
        <v>115.7</v>
      </c>
      <c r="E30">
        <v>112.9</v>
      </c>
      <c r="F30">
        <f t="shared" si="0"/>
        <v>0.21552456893062411</v>
      </c>
      <c r="G30">
        <f t="shared" si="1"/>
        <v>0.19022707034728406</v>
      </c>
      <c r="H30">
        <f t="shared" si="2"/>
        <v>0.18456043066461589</v>
      </c>
      <c r="I30">
        <f>AVERAGE(F30:H30)</f>
        <v>0.19677068998084135</v>
      </c>
      <c r="J30">
        <f>STDEV(F30:H30)</f>
        <v>1.6486621335817291E-2</v>
      </c>
    </row>
    <row r="31" spans="1:16">
      <c r="A31" t="s">
        <v>14</v>
      </c>
      <c r="B31" t="s">
        <v>13</v>
      </c>
      <c r="C31">
        <v>420.9</v>
      </c>
      <c r="D31">
        <v>421.3</v>
      </c>
      <c r="E31">
        <v>443.8</v>
      </c>
      <c r="F31">
        <f t="shared" si="0"/>
        <v>0.8078907957581154</v>
      </c>
      <c r="G31">
        <f t="shared" si="1"/>
        <v>0.80870031571278234</v>
      </c>
      <c r="H31">
        <f t="shared" si="2"/>
        <v>0.85423581316279451</v>
      </c>
      <c r="I31">
        <f t="shared" ref="I31:I41" si="5">AVERAGE(F31:H31)</f>
        <v>0.8236089748778973</v>
      </c>
      <c r="J31">
        <f t="shared" ref="J31:J41" si="6">STDEV(F31:H31)</f>
        <v>2.652670820392496E-2</v>
      </c>
      <c r="L31" t="s">
        <v>61</v>
      </c>
      <c r="M31">
        <v>0</v>
      </c>
      <c r="N31">
        <v>6.5</v>
      </c>
      <c r="O31">
        <f>N31+13</f>
        <v>19.5</v>
      </c>
      <c r="P31">
        <v>25.5</v>
      </c>
    </row>
    <row r="32" spans="1:16">
      <c r="A32" t="s">
        <v>15</v>
      </c>
      <c r="B32" t="s">
        <v>13</v>
      </c>
      <c r="C32">
        <v>81.2</v>
      </c>
      <c r="D32">
        <v>75.8</v>
      </c>
      <c r="E32">
        <v>75.5</v>
      </c>
      <c r="F32">
        <f t="shared" si="0"/>
        <v>0.12040597425726544</v>
      </c>
      <c r="G32">
        <f t="shared" si="1"/>
        <v>0.10947745486926252</v>
      </c>
      <c r="H32">
        <f t="shared" si="2"/>
        <v>0.10887031490326236</v>
      </c>
      <c r="I32">
        <f t="shared" si="5"/>
        <v>0.11291791467659679</v>
      </c>
      <c r="J32">
        <f t="shared" si="6"/>
        <v>6.4919513204668693E-3</v>
      </c>
      <c r="L32" t="str">
        <f>A30</f>
        <v>SW+L</v>
      </c>
      <c r="M32">
        <f>I30</f>
        <v>0.19677068998084135</v>
      </c>
      <c r="N32">
        <f>I33</f>
        <v>8.8295016055479111E-2</v>
      </c>
      <c r="O32">
        <f>I36</f>
        <v>5.9287217679915814E-2</v>
      </c>
      <c r="P32">
        <f>I39</f>
        <v>5.5374537899025883E-2</v>
      </c>
    </row>
    <row r="33" spans="1:17">
      <c r="A33" t="s">
        <v>11</v>
      </c>
      <c r="B33" t="s">
        <v>19</v>
      </c>
      <c r="C33">
        <v>103.6</v>
      </c>
      <c r="D33">
        <v>45.7</v>
      </c>
      <c r="E33">
        <v>46.7</v>
      </c>
      <c r="F33">
        <f t="shared" si="0"/>
        <v>0.16573909171861084</v>
      </c>
      <c r="G33">
        <f t="shared" si="1"/>
        <v>4.8561078280579623E-2</v>
      </c>
      <c r="H33">
        <f t="shared" si="2"/>
        <v>5.0584878167246834E-2</v>
      </c>
      <c r="I33">
        <f t="shared" si="5"/>
        <v>8.8295016055479111E-2</v>
      </c>
      <c r="J33">
        <f t="shared" si="6"/>
        <v>6.7076170008304514E-2</v>
      </c>
      <c r="L33" t="str">
        <f>A31</f>
        <v>SW+N</v>
      </c>
      <c r="M33">
        <f>I31</f>
        <v>0.8236089748778973</v>
      </c>
      <c r="N33">
        <f>I34</f>
        <v>0.3912578590895599</v>
      </c>
      <c r="O33">
        <f>I37</f>
        <v>9.618783561348121E-2</v>
      </c>
      <c r="P33">
        <f>I40</f>
        <v>4.6267438409023448E-2</v>
      </c>
    </row>
    <row r="34" spans="1:17">
      <c r="A34" t="s">
        <v>14</v>
      </c>
      <c r="B34" t="s">
        <v>19</v>
      </c>
      <c r="C34">
        <v>192.6</v>
      </c>
      <c r="D34">
        <v>143.6</v>
      </c>
      <c r="E34">
        <v>308.89999999999998</v>
      </c>
      <c r="F34">
        <f t="shared" si="0"/>
        <v>0.3458572816319922</v>
      </c>
      <c r="G34">
        <f t="shared" si="1"/>
        <v>0.24669108718529911</v>
      </c>
      <c r="H34">
        <f t="shared" si="2"/>
        <v>0.58122520845138825</v>
      </c>
      <c r="I34">
        <f t="shared" si="5"/>
        <v>0.3912578590895599</v>
      </c>
      <c r="J34">
        <f t="shared" si="6"/>
        <v>0.1718260134494454</v>
      </c>
      <c r="L34" t="str">
        <f>A32</f>
        <v>SW</v>
      </c>
      <c r="M34">
        <f>I32</f>
        <v>0.11291791467659679</v>
      </c>
      <c r="N34">
        <f>I35</f>
        <v>5.5172157910359156E-2</v>
      </c>
      <c r="O34">
        <f>I38</f>
        <v>4.5660298443023294E-2</v>
      </c>
      <c r="P34">
        <f>I41</f>
        <v>4.3366658571467126E-2</v>
      </c>
    </row>
    <row r="35" spans="1:17">
      <c r="A35" t="s">
        <v>15</v>
      </c>
      <c r="B35" t="s">
        <v>19</v>
      </c>
      <c r="C35">
        <v>60.2</v>
      </c>
      <c r="D35">
        <v>43.9</v>
      </c>
      <c r="E35">
        <v>42.8</v>
      </c>
      <c r="F35">
        <f t="shared" si="0"/>
        <v>7.7906176637254118E-2</v>
      </c>
      <c r="G35">
        <f t="shared" si="1"/>
        <v>4.4918238484578647E-2</v>
      </c>
      <c r="H35">
        <f t="shared" si="2"/>
        <v>4.2692058609244715E-2</v>
      </c>
      <c r="I35">
        <f t="shared" si="5"/>
        <v>5.5172157910359156E-2</v>
      </c>
      <c r="J35">
        <f t="shared" si="6"/>
        <v>1.9719677350693229E-2</v>
      </c>
    </row>
    <row r="36" spans="1:17">
      <c r="A36" t="s">
        <v>11</v>
      </c>
      <c r="B36" t="s">
        <v>20</v>
      </c>
      <c r="C36">
        <v>68.2</v>
      </c>
      <c r="D36">
        <v>43.8</v>
      </c>
      <c r="E36">
        <v>41</v>
      </c>
      <c r="F36">
        <f t="shared" si="0"/>
        <v>9.4096575730591769E-2</v>
      </c>
      <c r="G36">
        <f t="shared" si="1"/>
        <v>4.471585849591192E-2</v>
      </c>
      <c r="H36">
        <f t="shared" si="2"/>
        <v>3.9049218813243747E-2</v>
      </c>
      <c r="I36">
        <f t="shared" si="5"/>
        <v>5.9287217679915814E-2</v>
      </c>
      <c r="J36">
        <f t="shared" si="6"/>
        <v>3.0278643583364448E-2</v>
      </c>
      <c r="L36" t="s">
        <v>50</v>
      </c>
      <c r="M36">
        <f>M31</f>
        <v>0</v>
      </c>
      <c r="N36">
        <f>N31</f>
        <v>6.5</v>
      </c>
      <c r="O36">
        <f>O31</f>
        <v>19.5</v>
      </c>
      <c r="P36">
        <f>P31</f>
        <v>25.5</v>
      </c>
    </row>
    <row r="37" spans="1:17">
      <c r="A37" t="s">
        <v>14</v>
      </c>
      <c r="B37" t="s">
        <v>20</v>
      </c>
      <c r="C37">
        <v>59.3</v>
      </c>
      <c r="D37">
        <v>41</v>
      </c>
      <c r="E37">
        <v>107.4</v>
      </c>
      <c r="F37">
        <f t="shared" si="0"/>
        <v>7.608475673925362E-2</v>
      </c>
      <c r="G37">
        <f t="shared" si="1"/>
        <v>3.9049218813243747E-2</v>
      </c>
      <c r="H37">
        <f t="shared" si="2"/>
        <v>0.17342953128794625</v>
      </c>
      <c r="I37">
        <f t="shared" si="5"/>
        <v>9.618783561348121E-2</v>
      </c>
      <c r="J37">
        <f t="shared" si="6"/>
        <v>6.9409058705382484E-2</v>
      </c>
      <c r="L37" t="str">
        <f>L32</f>
        <v>SW+L</v>
      </c>
      <c r="M37">
        <f>J30/(SQRT(3))</f>
        <v>9.5185552662615403E-3</v>
      </c>
      <c r="N37">
        <f>J33/(SQRT(3))</f>
        <v>3.8726444810503718E-2</v>
      </c>
      <c r="O37">
        <f>J36/(SQRT(3))</f>
        <v>1.7481383023552201E-2</v>
      </c>
      <c r="P37">
        <f>J39/(SQRT(3))</f>
        <v>6.0334283679635385E-3</v>
      </c>
    </row>
    <row r="38" spans="1:17">
      <c r="A38" t="s">
        <v>15</v>
      </c>
      <c r="B38" t="s">
        <v>20</v>
      </c>
      <c r="C38">
        <v>50.6</v>
      </c>
      <c r="D38">
        <v>43.4</v>
      </c>
      <c r="E38">
        <v>38.799999999999997</v>
      </c>
      <c r="F38">
        <f t="shared" si="0"/>
        <v>5.8477697725248932E-2</v>
      </c>
      <c r="G38">
        <f t="shared" si="1"/>
        <v>4.3906338541245045E-2</v>
      </c>
      <c r="H38">
        <f t="shared" si="2"/>
        <v>3.459685906257589E-2</v>
      </c>
      <c r="I38">
        <f t="shared" si="5"/>
        <v>4.5660298443023294E-2</v>
      </c>
      <c r="J38">
        <f t="shared" si="6"/>
        <v>1.2036648009763312E-2</v>
      </c>
      <c r="L38" t="str">
        <f>L33</f>
        <v>SW+N</v>
      </c>
      <c r="M38">
        <f>J31/(SQRT(3))</f>
        <v>1.531520212225073E-2</v>
      </c>
      <c r="N38">
        <f>J34/(SQRT(3))</f>
        <v>9.9203795118817564E-2</v>
      </c>
      <c r="O38">
        <f>J37/(SQRT(3))</f>
        <v>4.0073338727751116E-2</v>
      </c>
      <c r="P38">
        <f>J40/(SQRT(3))</f>
        <v>2.5846952239223942E-3</v>
      </c>
    </row>
    <row r="39" spans="1:17">
      <c r="A39" t="s">
        <v>11</v>
      </c>
      <c r="B39" t="s">
        <v>21</v>
      </c>
      <c r="C39">
        <v>50</v>
      </c>
      <c r="D39">
        <v>53.7</v>
      </c>
      <c r="E39">
        <v>43.5</v>
      </c>
      <c r="F39">
        <f t="shared" si="0"/>
        <v>5.726341779324861E-2</v>
      </c>
      <c r="G39">
        <f t="shared" si="1"/>
        <v>6.4751477373917274E-2</v>
      </c>
      <c r="H39">
        <f t="shared" si="2"/>
        <v>4.4108718529911765E-2</v>
      </c>
      <c r="I39">
        <f t="shared" si="5"/>
        <v>5.5374537899025883E-2</v>
      </c>
      <c r="J39">
        <f t="shared" si="6"/>
        <v>1.0450204477140219E-2</v>
      </c>
      <c r="L39" t="str">
        <f>L34</f>
        <v>SW</v>
      </c>
      <c r="M39">
        <f>J32/(SQRT(3))</f>
        <v>3.7481298424374937E-3</v>
      </c>
      <c r="N39">
        <f>J35/(SQRT(3))</f>
        <v>1.1385161026755302E-2</v>
      </c>
      <c r="O39">
        <f>J38/(SQRT(3))</f>
        <v>6.949361968577622E-3</v>
      </c>
      <c r="P39">
        <f>J41/(SQRT(3))</f>
        <v>2.7059784559933593E-3</v>
      </c>
    </row>
    <row r="40" spans="1:17">
      <c r="A40" t="s">
        <v>14</v>
      </c>
      <c r="B40" t="s">
        <v>21</v>
      </c>
      <c r="C40">
        <v>46.9</v>
      </c>
      <c r="D40">
        <v>44.3</v>
      </c>
      <c r="E40">
        <v>42.5</v>
      </c>
      <c r="F40">
        <f t="shared" si="0"/>
        <v>5.0989638144580261E-2</v>
      </c>
      <c r="G40">
        <f t="shared" si="1"/>
        <v>4.5727758439245522E-2</v>
      </c>
      <c r="H40">
        <f t="shared" si="2"/>
        <v>4.2084918643244561E-2</v>
      </c>
      <c r="I40">
        <f t="shared" si="5"/>
        <v>4.6267438409023448E-2</v>
      </c>
      <c r="J40">
        <f t="shared" si="6"/>
        <v>4.4768234499142027E-3</v>
      </c>
    </row>
    <row r="41" spans="1:17">
      <c r="A41" t="s">
        <v>15</v>
      </c>
      <c r="B41" t="s">
        <v>21</v>
      </c>
      <c r="C41">
        <v>45.7</v>
      </c>
      <c r="D41">
        <v>41.2</v>
      </c>
      <c r="E41">
        <v>42.5</v>
      </c>
      <c r="F41">
        <f t="shared" si="0"/>
        <v>4.8561078280579623E-2</v>
      </c>
      <c r="G41">
        <f t="shared" si="1"/>
        <v>3.9453978790577195E-2</v>
      </c>
      <c r="H41">
        <f t="shared" si="2"/>
        <v>4.2084918643244561E-2</v>
      </c>
      <c r="I41">
        <f t="shared" si="5"/>
        <v>4.3366658571467126E-2</v>
      </c>
      <c r="J41">
        <f t="shared" si="6"/>
        <v>4.6868921699672814E-3</v>
      </c>
    </row>
    <row r="43" spans="1:17">
      <c r="F43" t="s">
        <v>10</v>
      </c>
      <c r="G43" t="s">
        <v>16</v>
      </c>
      <c r="J43" t="s">
        <v>16</v>
      </c>
    </row>
    <row r="44" spans="1:17">
      <c r="E44" s="1" t="s">
        <v>628</v>
      </c>
      <c r="F44">
        <f>F15</f>
        <v>5.4227717963247796E-2</v>
      </c>
      <c r="G44">
        <f>F30</f>
        <v>0.21552456893062411</v>
      </c>
      <c r="J44" t="s">
        <v>629</v>
      </c>
      <c r="K44" t="s">
        <v>12</v>
      </c>
      <c r="L44" t="s">
        <v>17</v>
      </c>
      <c r="M44" t="s">
        <v>18</v>
      </c>
      <c r="N44" t="s">
        <v>630</v>
      </c>
      <c r="O44" t="s">
        <v>24</v>
      </c>
      <c r="Q44" t="s">
        <v>72</v>
      </c>
    </row>
    <row r="45" spans="1:17">
      <c r="F45">
        <f>G15</f>
        <v>5.3013438031247473E-2</v>
      </c>
      <c r="G45">
        <f>G30</f>
        <v>0.19022707034728406</v>
      </c>
      <c r="I45" t="s">
        <v>16</v>
      </c>
      <c r="J45" t="s">
        <v>266</v>
      </c>
      <c r="K45">
        <f>F30-F39</f>
        <v>0.15826115113737549</v>
      </c>
      <c r="L45" s="12">
        <f t="shared" ref="L45:M45" si="7">G30-G39</f>
        <v>0.1254755929733668</v>
      </c>
      <c r="M45" s="12">
        <f t="shared" si="7"/>
        <v>0.14045171213470412</v>
      </c>
      <c r="N45">
        <f>AVERAGE(K45:M45)</f>
        <v>0.14139615208181547</v>
      </c>
      <c r="O45">
        <f>STDEV(K45:M45)</f>
        <v>1.6413170965467763E-2</v>
      </c>
      <c r="Q45" t="s">
        <v>73</v>
      </c>
    </row>
    <row r="46" spans="1:17">
      <c r="F46">
        <f>H15</f>
        <v>5.0180118189913386E-2</v>
      </c>
      <c r="G46">
        <f>H30</f>
        <v>0.18456043066461589</v>
      </c>
      <c r="J46" t="s">
        <v>15</v>
      </c>
      <c r="K46">
        <f>F32-F41</f>
        <v>7.1844895976685821E-2</v>
      </c>
      <c r="L46" s="12">
        <f t="shared" ref="L46:M46" si="8">G32-G41</f>
        <v>7.0023476078685337E-2</v>
      </c>
      <c r="M46" s="12">
        <f t="shared" si="8"/>
        <v>6.678539626001781E-2</v>
      </c>
      <c r="N46" s="12">
        <f>AVERAGE(K46:M46)</f>
        <v>6.9551256105129661E-2</v>
      </c>
      <c r="O46" s="12">
        <f>STDEV(K46:M46)</f>
        <v>2.5625920711868323E-3</v>
      </c>
      <c r="Q46" t="s">
        <v>74</v>
      </c>
    </row>
    <row r="47" spans="1:17">
      <c r="F47">
        <f>F17</f>
        <v>0.10259653525459404</v>
      </c>
      <c r="G47">
        <f>F32</f>
        <v>0.12040597425726544</v>
      </c>
      <c r="I47" t="s">
        <v>10</v>
      </c>
      <c r="J47" s="12" t="s">
        <v>266</v>
      </c>
      <c r="K47">
        <f>F15-F24</f>
        <v>-6.0713996600015446E-4</v>
      </c>
      <c r="L47" s="12">
        <f t="shared" ref="L47:M47" si="9">G15-G24</f>
        <v>1.4166599206670363E-3</v>
      </c>
      <c r="M47" s="12">
        <f t="shared" si="9"/>
        <v>2.0237998866672116E-3</v>
      </c>
      <c r="N47" s="12">
        <f t="shared" ref="N47:N48" si="10">AVERAGE(K47:M47)</f>
        <v>9.4443994711136453E-4</v>
      </c>
      <c r="O47" s="12">
        <f t="shared" ref="O47:O48" si="11">STDEV(K47:M47)</f>
        <v>1.3775721050663862E-3</v>
      </c>
      <c r="Q47" t="s">
        <v>75</v>
      </c>
    </row>
    <row r="48" spans="1:17">
      <c r="F48">
        <f>G17</f>
        <v>8.3370436331255571E-2</v>
      </c>
      <c r="G48">
        <f>G32</f>
        <v>0.10947745486926252</v>
      </c>
      <c r="J48" s="12" t="s">
        <v>15</v>
      </c>
      <c r="K48">
        <f>F17-F26</f>
        <v>3.9464097790010547E-2</v>
      </c>
      <c r="L48" s="12">
        <f t="shared" ref="L48:M48" si="12">G17-G26</f>
        <v>3.1773658220675134E-2</v>
      </c>
      <c r="M48" s="12">
        <f t="shared" si="12"/>
        <v>2.0845138832672215E-2</v>
      </c>
      <c r="N48" s="12">
        <f t="shared" si="10"/>
        <v>3.0694298281119303E-2</v>
      </c>
      <c r="O48" s="12">
        <f t="shared" si="11"/>
        <v>9.3562904814408383E-3</v>
      </c>
    </row>
    <row r="49" spans="6:11">
      <c r="F49">
        <f>H17</f>
        <v>6.5965757305917583E-2</v>
      </c>
      <c r="G49">
        <f>H32</f>
        <v>0.10887031490326236</v>
      </c>
    </row>
    <row r="50" spans="6:11">
      <c r="F50">
        <f>F18</f>
        <v>7.3049056909252813E-2</v>
      </c>
      <c r="G50">
        <f>F33</f>
        <v>0.16573909171861084</v>
      </c>
      <c r="K50">
        <f>TTEST(K45:M45,K46:M46,2,2)</f>
        <v>1.6986413177585919E-3</v>
      </c>
    </row>
    <row r="51" spans="6:11">
      <c r="F51">
        <f>G18</f>
        <v>3.9049218813243747E-2</v>
      </c>
      <c r="G51">
        <f>G33</f>
        <v>4.8561078280579623E-2</v>
      </c>
      <c r="K51">
        <f>TTEST(K47:M47,K48:M48,2,2)</f>
        <v>5.5115928456107161E-3</v>
      </c>
    </row>
    <row r="52" spans="6:11">
      <c r="F52">
        <f>H18</f>
        <v>3.2977819153242133E-2</v>
      </c>
      <c r="G52">
        <f>H33</f>
        <v>5.0584878167246834E-2</v>
      </c>
    </row>
    <row r="53" spans="6:11">
      <c r="F53">
        <f>F20</f>
        <v>9.166801586659111E-2</v>
      </c>
      <c r="G53">
        <f>F35</f>
        <v>7.7906176637254118E-2</v>
      </c>
    </row>
    <row r="54" spans="6:11">
      <c r="F54">
        <f>G20</f>
        <v>4.8358698291912902E-2</v>
      </c>
      <c r="G54">
        <f>G35</f>
        <v>4.4918238484578647E-2</v>
      </c>
    </row>
    <row r="55" spans="6:11">
      <c r="F55">
        <f>H20</f>
        <v>4.3501578563911611E-2</v>
      </c>
      <c r="G55">
        <f>H35</f>
        <v>4.2692058609244715E-2</v>
      </c>
    </row>
    <row r="56" spans="6:11">
      <c r="F56">
        <f>F21</f>
        <v>7.0215737067918726E-2</v>
      </c>
      <c r="G56">
        <f>F36</f>
        <v>9.4096575730591769E-2</v>
      </c>
    </row>
    <row r="57" spans="6:11">
      <c r="F57">
        <f>G21</f>
        <v>5.2001538087913871E-2</v>
      </c>
      <c r="G57">
        <f>G36</f>
        <v>4.471585849591192E-2</v>
      </c>
    </row>
    <row r="58" spans="6:11">
      <c r="F58">
        <f>H21</f>
        <v>3.9858738767910629E-2</v>
      </c>
      <c r="G58">
        <f>H36</f>
        <v>3.9049218813243747E-2</v>
      </c>
    </row>
    <row r="59" spans="6:11">
      <c r="F59">
        <f>F23</f>
        <v>9.5108475673925372E-2</v>
      </c>
      <c r="G59">
        <f>F38</f>
        <v>5.8477697725248932E-2</v>
      </c>
    </row>
    <row r="60" spans="6:11">
      <c r="F60">
        <f>G23</f>
        <v>5.0584878167246834E-2</v>
      </c>
      <c r="G60">
        <f>G38</f>
        <v>4.3906338541245045E-2</v>
      </c>
    </row>
    <row r="61" spans="6:11">
      <c r="F61">
        <f>H23</f>
        <v>4.471585849591192E-2</v>
      </c>
      <c r="G61">
        <f>H38</f>
        <v>3.459685906257589E-2</v>
      </c>
    </row>
    <row r="62" spans="6:11">
      <c r="F62">
        <f>F24</f>
        <v>5.483485792924795E-2</v>
      </c>
      <c r="G62">
        <f>F39</f>
        <v>5.726341779324861E-2</v>
      </c>
    </row>
    <row r="63" spans="6:11">
      <c r="F63">
        <f>G24</f>
        <v>5.1596778110580437E-2</v>
      </c>
      <c r="G63">
        <f>G39</f>
        <v>6.4751477373917274E-2</v>
      </c>
    </row>
    <row r="64" spans="6:11">
      <c r="F64">
        <f>H24</f>
        <v>4.8156318303246175E-2</v>
      </c>
      <c r="G64">
        <f>H39</f>
        <v>4.4108718529911765E-2</v>
      </c>
    </row>
    <row r="65" spans="6:7">
      <c r="F65">
        <f>F26</f>
        <v>6.3132437464583496E-2</v>
      </c>
      <c r="G65">
        <f>F41</f>
        <v>4.8561078280579623E-2</v>
      </c>
    </row>
    <row r="66" spans="6:7">
      <c r="F66">
        <f>G26</f>
        <v>5.1596778110580437E-2</v>
      </c>
      <c r="G66">
        <f>G41</f>
        <v>3.9453978790577195E-2</v>
      </c>
    </row>
    <row r="67" spans="6:7">
      <c r="F67">
        <f>H26</f>
        <v>4.5120618473245368E-2</v>
      </c>
      <c r="G67">
        <f>H41</f>
        <v>4.2084918643244561E-2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44"/>
  <sheetViews>
    <sheetView workbookViewId="0">
      <selection activeCell="R18" sqref="R18"/>
    </sheetView>
  </sheetViews>
  <sheetFormatPr defaultRowHeight="15"/>
  <sheetData>
    <row r="1" spans="1:28">
      <c r="A1" s="1" t="s">
        <v>0</v>
      </c>
      <c r="N1" t="s">
        <v>615</v>
      </c>
    </row>
    <row r="2" spans="1:28">
      <c r="O2" t="s">
        <v>10</v>
      </c>
      <c r="P2" t="s">
        <v>16</v>
      </c>
    </row>
    <row r="3" spans="1:28">
      <c r="N3" t="s">
        <v>11</v>
      </c>
      <c r="O3">
        <f>TTEST(O7:O9,P7:P9,2,2)</f>
        <v>0.11108065514104122</v>
      </c>
      <c r="P3">
        <f>TTEST(U7:U9,V7:V9,2,2)</f>
        <v>0.63845416224795071</v>
      </c>
    </row>
    <row r="4" spans="1:28">
      <c r="A4" t="s">
        <v>1</v>
      </c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  <c r="H4" t="s">
        <v>8</v>
      </c>
      <c r="I4" t="s">
        <v>59</v>
      </c>
      <c r="J4" t="s">
        <v>60</v>
      </c>
      <c r="K4" t="s">
        <v>9</v>
      </c>
      <c r="N4" t="s">
        <v>14</v>
      </c>
      <c r="O4">
        <f>TTEST(O10:O12,P10:P12,2,2)</f>
        <v>5.8764050746027373E-4</v>
      </c>
      <c r="P4">
        <f>TTEST(U10:U12,V10:V12,2,2)</f>
        <v>0.14229193344335661</v>
      </c>
    </row>
    <row r="5" spans="1:28">
      <c r="A5" t="s">
        <v>10</v>
      </c>
      <c r="B5" t="s">
        <v>11</v>
      </c>
      <c r="C5" t="s">
        <v>12</v>
      </c>
      <c r="D5" t="s">
        <v>13</v>
      </c>
      <c r="E5">
        <v>50</v>
      </c>
      <c r="F5">
        <v>10</v>
      </c>
      <c r="G5">
        <v>3.4</v>
      </c>
      <c r="H5">
        <v>2.2000000000000002</v>
      </c>
      <c r="I5">
        <f>G5-$G$42</f>
        <v>3.6999999999999997</v>
      </c>
      <c r="J5">
        <f>H5-$G$42</f>
        <v>2.5</v>
      </c>
      <c r="K5">
        <f>1.82*1.61*(I5-J5)*(F5/E5)</f>
        <v>0.70324799999999987</v>
      </c>
      <c r="N5" t="s">
        <v>15</v>
      </c>
      <c r="O5">
        <f>TTEST(O13:O15,P13:P15,2,2)</f>
        <v>0.2030826811848512</v>
      </c>
      <c r="P5">
        <f>TTEST(U13:U15,V13:V15,2,2)</f>
        <v>0.54198767638881196</v>
      </c>
      <c r="AA5" t="s">
        <v>445</v>
      </c>
    </row>
    <row r="6" spans="1:28">
      <c r="A6" t="s">
        <v>10</v>
      </c>
      <c r="B6" t="s">
        <v>11</v>
      </c>
      <c r="C6" t="s">
        <v>17</v>
      </c>
      <c r="D6" t="s">
        <v>13</v>
      </c>
      <c r="E6">
        <v>50</v>
      </c>
      <c r="F6">
        <v>10</v>
      </c>
      <c r="G6">
        <v>4.0199999999999996</v>
      </c>
      <c r="H6">
        <v>2.6</v>
      </c>
      <c r="I6">
        <f t="shared" ref="I6:I40" si="0">G6-$G$42</f>
        <v>4.3199999999999994</v>
      </c>
      <c r="J6">
        <f t="shared" ref="J6:J40" si="1">H6-$G$42</f>
        <v>2.9</v>
      </c>
      <c r="K6">
        <f t="shared" ref="K6:K40" si="2">1.82*1.61*(I6-J6)*(F6/E6)</f>
        <v>0.83217679999999972</v>
      </c>
      <c r="M6" t="s">
        <v>10</v>
      </c>
      <c r="O6" t="s">
        <v>13</v>
      </c>
      <c r="P6" t="s">
        <v>21</v>
      </c>
      <c r="Q6" t="s">
        <v>70</v>
      </c>
      <c r="S6" t="s">
        <v>16</v>
      </c>
      <c r="U6" t="s">
        <v>13</v>
      </c>
      <c r="V6" t="s">
        <v>21</v>
      </c>
      <c r="W6" t="s">
        <v>70</v>
      </c>
      <c r="Y6" t="s">
        <v>23</v>
      </c>
      <c r="AA6" t="s">
        <v>446</v>
      </c>
      <c r="AB6" t="s">
        <v>38</v>
      </c>
    </row>
    <row r="7" spans="1:28">
      <c r="A7" t="s">
        <v>10</v>
      </c>
      <c r="B7" t="s">
        <v>11</v>
      </c>
      <c r="C7" t="s">
        <v>18</v>
      </c>
      <c r="D7" t="s">
        <v>13</v>
      </c>
      <c r="E7">
        <v>50</v>
      </c>
      <c r="F7">
        <v>10</v>
      </c>
      <c r="G7">
        <v>4.26</v>
      </c>
      <c r="H7">
        <v>2.75</v>
      </c>
      <c r="I7">
        <f t="shared" si="0"/>
        <v>4.5599999999999996</v>
      </c>
      <c r="J7">
        <f t="shared" si="1"/>
        <v>3.05</v>
      </c>
      <c r="K7">
        <f t="shared" si="2"/>
        <v>0.88492039999999994</v>
      </c>
      <c r="M7" t="s">
        <v>11</v>
      </c>
      <c r="N7" t="s">
        <v>12</v>
      </c>
      <c r="O7">
        <f>K5</f>
        <v>0.70324799999999987</v>
      </c>
      <c r="P7">
        <f>K23</f>
        <v>0.87319959999999996</v>
      </c>
      <c r="Q7">
        <f>P7-O7</f>
        <v>0.16995160000000009</v>
      </c>
      <c r="S7" t="s">
        <v>11</v>
      </c>
      <c r="T7" t="s">
        <v>12</v>
      </c>
      <c r="U7">
        <f t="shared" ref="U7:U15" si="3">K14</f>
        <v>4.9461776000000013</v>
      </c>
      <c r="V7">
        <f t="shared" ref="V7:V15" si="4">K32</f>
        <v>5.1864540000000012</v>
      </c>
      <c r="W7">
        <f>V7-U7</f>
        <v>0.24027639999999995</v>
      </c>
      <c r="Y7" t="s">
        <v>10</v>
      </c>
      <c r="Z7" t="s">
        <v>266</v>
      </c>
      <c r="AA7">
        <f>Q18</f>
        <v>0.17971893333333352</v>
      </c>
      <c r="AB7" s="16">
        <f>PP!R28/10</f>
        <v>0.20797872340425533</v>
      </c>
    </row>
    <row r="8" spans="1:28">
      <c r="A8" t="s">
        <v>10</v>
      </c>
      <c r="B8" t="s">
        <v>14</v>
      </c>
      <c r="C8" t="s">
        <v>12</v>
      </c>
      <c r="D8" t="s">
        <v>13</v>
      </c>
      <c r="E8">
        <v>50</v>
      </c>
      <c r="F8">
        <v>10</v>
      </c>
      <c r="G8">
        <v>3.3</v>
      </c>
      <c r="H8">
        <v>2.0499999999999998</v>
      </c>
      <c r="I8">
        <f t="shared" si="0"/>
        <v>3.5999999999999996</v>
      </c>
      <c r="J8">
        <f t="shared" si="1"/>
        <v>2.3499999999999996</v>
      </c>
      <c r="K8">
        <f t="shared" si="2"/>
        <v>0.73255000000000003</v>
      </c>
      <c r="N8" t="s">
        <v>17</v>
      </c>
      <c r="O8">
        <f t="shared" ref="O8:O15" si="5">K6</f>
        <v>0.83217679999999972</v>
      </c>
      <c r="P8">
        <f t="shared" ref="P8:P15" si="6">K24</f>
        <v>1.1134760000000001</v>
      </c>
      <c r="Q8">
        <f t="shared" ref="Q8:Q15" si="7">P8-O8</f>
        <v>0.28129920000000042</v>
      </c>
      <c r="T8" t="s">
        <v>17</v>
      </c>
      <c r="U8">
        <f t="shared" si="3"/>
        <v>6.3643944000000001</v>
      </c>
      <c r="V8">
        <f t="shared" si="4"/>
        <v>5.3915680000000012</v>
      </c>
      <c r="W8">
        <f t="shared" ref="W8:W15" si="8">V8-U8</f>
        <v>-0.97282639999999887</v>
      </c>
      <c r="Z8" t="s">
        <v>14</v>
      </c>
      <c r="AA8" s="12">
        <f>Q19</f>
        <v>0.52743600000000013</v>
      </c>
      <c r="AB8" s="16">
        <f>PP!R29/10</f>
        <v>0.37748226950354613</v>
      </c>
    </row>
    <row r="9" spans="1:28">
      <c r="A9" t="s">
        <v>10</v>
      </c>
      <c r="B9" t="s">
        <v>14</v>
      </c>
      <c r="C9" t="s">
        <v>17</v>
      </c>
      <c r="D9" t="s">
        <v>13</v>
      </c>
      <c r="E9">
        <v>50</v>
      </c>
      <c r="F9">
        <v>10</v>
      </c>
      <c r="G9">
        <v>4.26</v>
      </c>
      <c r="H9">
        <v>2.75</v>
      </c>
      <c r="I9">
        <f t="shared" si="0"/>
        <v>4.5599999999999996</v>
      </c>
      <c r="J9">
        <f t="shared" si="1"/>
        <v>3.05</v>
      </c>
      <c r="K9">
        <f t="shared" si="2"/>
        <v>0.88492039999999994</v>
      </c>
      <c r="N9" t="s">
        <v>18</v>
      </c>
      <c r="O9">
        <f t="shared" si="5"/>
        <v>0.88492039999999994</v>
      </c>
      <c r="P9">
        <f t="shared" si="6"/>
        <v>0.97282639999999998</v>
      </c>
      <c r="Q9">
        <f t="shared" si="7"/>
        <v>8.790600000000004E-2</v>
      </c>
      <c r="T9" t="s">
        <v>18</v>
      </c>
      <c r="U9">
        <f t="shared" si="3"/>
        <v>6.0010496000000009</v>
      </c>
      <c r="V9">
        <f t="shared" si="4"/>
        <v>5.9893288</v>
      </c>
      <c r="W9">
        <f t="shared" si="8"/>
        <v>-1.1720800000000864E-2</v>
      </c>
      <c r="Z9" t="s">
        <v>15</v>
      </c>
      <c r="AA9" s="12">
        <f>Q20</f>
        <v>-0.1640912000000001</v>
      </c>
      <c r="AB9" s="16">
        <f>PP!R30/10</f>
        <v>0.13829787234042551</v>
      </c>
    </row>
    <row r="10" spans="1:28">
      <c r="A10" t="s">
        <v>10</v>
      </c>
      <c r="B10" t="s">
        <v>14</v>
      </c>
      <c r="C10" t="s">
        <v>18</v>
      </c>
      <c r="D10" t="s">
        <v>13</v>
      </c>
      <c r="E10">
        <v>50</v>
      </c>
      <c r="F10">
        <v>10</v>
      </c>
      <c r="G10">
        <v>4.04</v>
      </c>
      <c r="H10">
        <v>2.58</v>
      </c>
      <c r="I10">
        <f t="shared" si="0"/>
        <v>4.34</v>
      </c>
      <c r="J10">
        <f t="shared" si="1"/>
        <v>2.88</v>
      </c>
      <c r="K10">
        <f t="shared" si="2"/>
        <v>0.8556184</v>
      </c>
      <c r="M10" t="s">
        <v>14</v>
      </c>
      <c r="N10" t="s">
        <v>12</v>
      </c>
      <c r="O10">
        <f t="shared" si="5"/>
        <v>0.73255000000000003</v>
      </c>
      <c r="P10">
        <f t="shared" si="6"/>
        <v>1.4006356</v>
      </c>
      <c r="Q10">
        <f t="shared" si="7"/>
        <v>0.66808559999999995</v>
      </c>
      <c r="S10" t="s">
        <v>14</v>
      </c>
      <c r="T10" t="s">
        <v>12</v>
      </c>
      <c r="U10">
        <f t="shared" si="3"/>
        <v>6.3116508000000007</v>
      </c>
      <c r="V10">
        <f t="shared" si="4"/>
        <v>5.4208700000000007</v>
      </c>
      <c r="W10">
        <f t="shared" si="8"/>
        <v>-0.89078079999999993</v>
      </c>
      <c r="Y10" t="s">
        <v>16</v>
      </c>
      <c r="Z10" s="12" t="s">
        <v>266</v>
      </c>
      <c r="AA10">
        <f>W18</f>
        <v>-0.24809026666666659</v>
      </c>
      <c r="AB10" s="16">
        <f>PP!R31/10</f>
        <v>9.9778368794326208E-2</v>
      </c>
    </row>
    <row r="11" spans="1:28">
      <c r="A11" t="s">
        <v>10</v>
      </c>
      <c r="B11" t="s">
        <v>15</v>
      </c>
      <c r="C11" t="s">
        <v>12</v>
      </c>
      <c r="D11" t="s">
        <v>13</v>
      </c>
      <c r="E11">
        <v>50</v>
      </c>
      <c r="F11">
        <v>10</v>
      </c>
      <c r="G11">
        <v>4.2699999999999996</v>
      </c>
      <c r="H11">
        <v>2.69</v>
      </c>
      <c r="I11">
        <f t="shared" si="0"/>
        <v>4.5699999999999994</v>
      </c>
      <c r="J11">
        <f t="shared" si="1"/>
        <v>2.9899999999999998</v>
      </c>
      <c r="K11">
        <f t="shared" si="2"/>
        <v>0.92594319999999986</v>
      </c>
      <c r="N11" t="s">
        <v>17</v>
      </c>
      <c r="O11">
        <f t="shared" si="5"/>
        <v>0.88492039999999994</v>
      </c>
      <c r="P11">
        <f t="shared" si="6"/>
        <v>1.3420316000000003</v>
      </c>
      <c r="Q11">
        <f t="shared" si="7"/>
        <v>0.45711120000000038</v>
      </c>
      <c r="T11" t="s">
        <v>17</v>
      </c>
      <c r="U11">
        <f t="shared" si="3"/>
        <v>5.942445600000001</v>
      </c>
      <c r="V11">
        <f t="shared" si="4"/>
        <v>3.6568896000000004</v>
      </c>
      <c r="W11">
        <f t="shared" si="8"/>
        <v>-2.2855560000000006</v>
      </c>
      <c r="Z11" s="12" t="s">
        <v>14</v>
      </c>
      <c r="AA11" s="12">
        <f>W19</f>
        <v>-1.9515132000000006</v>
      </c>
      <c r="AB11" s="16">
        <f>PP!R32/10</f>
        <v>-2.2650709219858168E-2</v>
      </c>
    </row>
    <row r="12" spans="1:28">
      <c r="A12" t="s">
        <v>10</v>
      </c>
      <c r="B12" t="s">
        <v>15</v>
      </c>
      <c r="C12" t="s">
        <v>17</v>
      </c>
      <c r="D12" t="s">
        <v>13</v>
      </c>
      <c r="E12">
        <v>50</v>
      </c>
      <c r="F12">
        <v>10</v>
      </c>
      <c r="G12">
        <v>4.4000000000000004</v>
      </c>
      <c r="H12">
        <v>2.84</v>
      </c>
      <c r="I12">
        <f t="shared" si="0"/>
        <v>4.7</v>
      </c>
      <c r="J12">
        <f t="shared" si="1"/>
        <v>3.1399999999999997</v>
      </c>
      <c r="K12">
        <f t="shared" si="2"/>
        <v>0.91422240000000043</v>
      </c>
      <c r="N12" t="s">
        <v>18</v>
      </c>
      <c r="O12">
        <f t="shared" si="5"/>
        <v>0.8556184</v>
      </c>
      <c r="P12">
        <f t="shared" si="6"/>
        <v>1.3127296000000002</v>
      </c>
      <c r="Q12">
        <f t="shared" si="7"/>
        <v>0.45711120000000016</v>
      </c>
      <c r="T12" t="s">
        <v>18</v>
      </c>
      <c r="U12">
        <f t="shared" si="3"/>
        <v>4.7645052000000012</v>
      </c>
      <c r="V12">
        <f t="shared" si="4"/>
        <v>2.0863024000000001</v>
      </c>
      <c r="W12">
        <f t="shared" si="8"/>
        <v>-2.6782028000000011</v>
      </c>
      <c r="Z12" s="12" t="s">
        <v>15</v>
      </c>
      <c r="AA12" s="12">
        <f>W20</f>
        <v>0.18753280000000064</v>
      </c>
      <c r="AB12" s="16">
        <f>PP!R33/10</f>
        <v>-7.2251773049645408E-3</v>
      </c>
    </row>
    <row r="13" spans="1:28">
      <c r="A13" t="s">
        <v>10</v>
      </c>
      <c r="B13" t="s">
        <v>15</v>
      </c>
      <c r="C13" t="s">
        <v>18</v>
      </c>
      <c r="D13" t="s">
        <v>13</v>
      </c>
      <c r="E13">
        <v>50</v>
      </c>
      <c r="F13">
        <v>10</v>
      </c>
      <c r="G13">
        <v>4.8</v>
      </c>
      <c r="H13">
        <v>3.1</v>
      </c>
      <c r="I13">
        <f t="shared" si="0"/>
        <v>5.0999999999999996</v>
      </c>
      <c r="J13">
        <f t="shared" si="1"/>
        <v>3.4</v>
      </c>
      <c r="K13">
        <f t="shared" si="2"/>
        <v>0.99626799999999993</v>
      </c>
      <c r="M13" t="s">
        <v>15</v>
      </c>
      <c r="N13" t="s">
        <v>12</v>
      </c>
      <c r="O13">
        <f t="shared" si="5"/>
        <v>0.92594319999999986</v>
      </c>
      <c r="P13">
        <f t="shared" si="6"/>
        <v>0.99040760000000005</v>
      </c>
      <c r="Q13">
        <f t="shared" si="7"/>
        <v>6.4464400000000199E-2</v>
      </c>
      <c r="S13" t="s">
        <v>15</v>
      </c>
      <c r="T13" t="s">
        <v>12</v>
      </c>
      <c r="U13">
        <f t="shared" si="3"/>
        <v>3.8971660000000008</v>
      </c>
      <c r="V13">
        <f t="shared" si="4"/>
        <v>4.3073940000000013</v>
      </c>
      <c r="W13">
        <f t="shared" si="8"/>
        <v>0.41022800000000048</v>
      </c>
    </row>
    <row r="14" spans="1:28">
      <c r="A14" t="s">
        <v>16</v>
      </c>
      <c r="B14" t="s">
        <v>11</v>
      </c>
      <c r="C14" t="s">
        <v>12</v>
      </c>
      <c r="D14" t="s">
        <v>13</v>
      </c>
      <c r="E14">
        <v>50</v>
      </c>
      <c r="F14">
        <v>10</v>
      </c>
      <c r="G14">
        <v>15.8</v>
      </c>
      <c r="H14">
        <v>7.36</v>
      </c>
      <c r="I14">
        <f t="shared" si="0"/>
        <v>16.100000000000001</v>
      </c>
      <c r="J14">
        <f t="shared" si="1"/>
        <v>7.66</v>
      </c>
      <c r="K14">
        <f t="shared" si="2"/>
        <v>4.9461776000000013</v>
      </c>
      <c r="N14" t="s">
        <v>17</v>
      </c>
      <c r="O14">
        <f t="shared" si="5"/>
        <v>0.91422240000000043</v>
      </c>
      <c r="P14">
        <f t="shared" si="6"/>
        <v>0.6915271999999999</v>
      </c>
      <c r="Q14">
        <f t="shared" si="7"/>
        <v>-0.22269520000000054</v>
      </c>
      <c r="T14" t="s">
        <v>17</v>
      </c>
      <c r="U14">
        <f t="shared" si="3"/>
        <v>4.7352032000000017</v>
      </c>
      <c r="V14">
        <f t="shared" si="4"/>
        <v>4.7176220000000013</v>
      </c>
      <c r="W14">
        <f t="shared" si="8"/>
        <v>-1.7581200000000408E-2</v>
      </c>
      <c r="Y14" t="s">
        <v>24</v>
      </c>
    </row>
    <row r="15" spans="1:28">
      <c r="A15" t="s">
        <v>16</v>
      </c>
      <c r="B15" t="s">
        <v>11</v>
      </c>
      <c r="C15" t="s">
        <v>17</v>
      </c>
      <c r="D15" t="s">
        <v>13</v>
      </c>
      <c r="E15">
        <v>50</v>
      </c>
      <c r="F15">
        <v>10</v>
      </c>
      <c r="G15">
        <v>20.5</v>
      </c>
      <c r="H15">
        <v>9.64</v>
      </c>
      <c r="I15">
        <f t="shared" si="0"/>
        <v>20.8</v>
      </c>
      <c r="J15">
        <f t="shared" si="1"/>
        <v>9.9400000000000013</v>
      </c>
      <c r="K15">
        <f t="shared" si="2"/>
        <v>6.3643944000000001</v>
      </c>
      <c r="N15" t="s">
        <v>18</v>
      </c>
      <c r="O15">
        <f t="shared" si="5"/>
        <v>0.99626799999999993</v>
      </c>
      <c r="P15">
        <f t="shared" si="6"/>
        <v>0.66222519999999996</v>
      </c>
      <c r="Q15">
        <f t="shared" si="7"/>
        <v>-0.33404279999999997</v>
      </c>
      <c r="T15" t="s">
        <v>18</v>
      </c>
      <c r="U15">
        <f t="shared" si="3"/>
        <v>4.1550235999999998</v>
      </c>
      <c r="V15">
        <f t="shared" si="4"/>
        <v>4.3249752000000017</v>
      </c>
      <c r="W15">
        <f t="shared" si="8"/>
        <v>0.16995160000000187</v>
      </c>
      <c r="Y15" s="12" t="s">
        <v>10</v>
      </c>
      <c r="Z15" s="12" t="s">
        <v>266</v>
      </c>
      <c r="AA15">
        <f>Q22</f>
        <v>9.7065869655061421E-2</v>
      </c>
      <c r="AB15">
        <f>PP!R35</f>
        <v>7.9368731031306122E-2</v>
      </c>
    </row>
    <row r="16" spans="1:28">
      <c r="A16" t="s">
        <v>16</v>
      </c>
      <c r="B16" t="s">
        <v>11</v>
      </c>
      <c r="C16" t="s">
        <v>18</v>
      </c>
      <c r="D16" t="s">
        <v>13</v>
      </c>
      <c r="E16">
        <v>50</v>
      </c>
      <c r="F16">
        <v>10</v>
      </c>
      <c r="G16">
        <v>19.3</v>
      </c>
      <c r="H16">
        <v>9.06</v>
      </c>
      <c r="I16">
        <f t="shared" si="0"/>
        <v>19.600000000000001</v>
      </c>
      <c r="J16">
        <f t="shared" si="1"/>
        <v>9.3600000000000012</v>
      </c>
      <c r="K16">
        <f t="shared" si="2"/>
        <v>6.0010496000000009</v>
      </c>
      <c r="Y16" s="12"/>
      <c r="Z16" s="12" t="s">
        <v>14</v>
      </c>
      <c r="AA16" s="12">
        <f>Q23</f>
        <v>0.1218061266321194</v>
      </c>
      <c r="AB16" s="12">
        <f>PP!R36</f>
        <v>0.81579469393918136</v>
      </c>
    </row>
    <row r="17" spans="1:28">
      <c r="A17" t="s">
        <v>16</v>
      </c>
      <c r="B17" t="s">
        <v>14</v>
      </c>
      <c r="C17" t="s">
        <v>12</v>
      </c>
      <c r="D17" t="s">
        <v>13</v>
      </c>
      <c r="E17">
        <v>50</v>
      </c>
      <c r="F17">
        <v>10</v>
      </c>
      <c r="G17">
        <v>19.7</v>
      </c>
      <c r="H17">
        <v>8.93</v>
      </c>
      <c r="I17">
        <f t="shared" si="0"/>
        <v>20</v>
      </c>
      <c r="J17">
        <f t="shared" si="1"/>
        <v>9.23</v>
      </c>
      <c r="K17">
        <f t="shared" si="2"/>
        <v>6.3116508000000007</v>
      </c>
      <c r="M17" t="s">
        <v>49</v>
      </c>
      <c r="N17">
        <v>0</v>
      </c>
      <c r="O17">
        <v>25.5</v>
      </c>
      <c r="P17" t="s">
        <v>69</v>
      </c>
      <c r="Q17" t="s">
        <v>70</v>
      </c>
      <c r="S17" t="s">
        <v>61</v>
      </c>
      <c r="T17">
        <v>0</v>
      </c>
      <c r="U17">
        <v>25.5</v>
      </c>
      <c r="V17" t="s">
        <v>69</v>
      </c>
      <c r="W17" t="s">
        <v>70</v>
      </c>
      <c r="Y17" s="12"/>
      <c r="Z17" s="12" t="s">
        <v>15</v>
      </c>
      <c r="AA17" s="12">
        <f>Q24</f>
        <v>0.20561570641602275</v>
      </c>
      <c r="AB17" s="12">
        <f>PP!R37</f>
        <v>0.43992247905007381</v>
      </c>
    </row>
    <row r="18" spans="1:28">
      <c r="A18" t="s">
        <v>16</v>
      </c>
      <c r="B18" t="s">
        <v>14</v>
      </c>
      <c r="C18" t="s">
        <v>17</v>
      </c>
      <c r="D18" t="s">
        <v>13</v>
      </c>
      <c r="E18">
        <v>50</v>
      </c>
      <c r="F18">
        <v>10</v>
      </c>
      <c r="G18">
        <v>19</v>
      </c>
      <c r="H18">
        <v>8.86</v>
      </c>
      <c r="I18">
        <f t="shared" si="0"/>
        <v>19.3</v>
      </c>
      <c r="J18">
        <f t="shared" si="1"/>
        <v>9.16</v>
      </c>
      <c r="K18">
        <f t="shared" si="2"/>
        <v>5.942445600000001</v>
      </c>
      <c r="M18" t="s">
        <v>11</v>
      </c>
      <c r="N18">
        <f>AVERAGE(O7:O9)</f>
        <v>0.80678173333333314</v>
      </c>
      <c r="O18">
        <f>AVERAGE(P7:P9)</f>
        <v>0.98650066666666669</v>
      </c>
      <c r="P18">
        <f>TTEST(O7:O9,P7:P9,2,2)</f>
        <v>0.11108065514104122</v>
      </c>
      <c r="Q18">
        <f>AVERAGE(Q7:Q9)</f>
        <v>0.17971893333333352</v>
      </c>
      <c r="S18" t="s">
        <v>11</v>
      </c>
      <c r="T18">
        <f>AVERAGE(U7:U9)</f>
        <v>5.7705405333333344</v>
      </c>
      <c r="U18">
        <f>AVERAGE(V7:V9)</f>
        <v>5.5224502666666675</v>
      </c>
      <c r="W18" s="12">
        <f>AVERAGE(W7:W9)</f>
        <v>-0.24809026666666659</v>
      </c>
      <c r="Y18" s="12" t="s">
        <v>16</v>
      </c>
      <c r="Z18" s="12" t="s">
        <v>266</v>
      </c>
      <c r="AA18">
        <f>W22</f>
        <v>0.64016208449202328</v>
      </c>
      <c r="AB18" s="12">
        <f>PP!R38</f>
        <v>0.74950719331628513</v>
      </c>
    </row>
    <row r="19" spans="1:28">
      <c r="A19" t="s">
        <v>16</v>
      </c>
      <c r="B19" t="s">
        <v>14</v>
      </c>
      <c r="C19" t="s">
        <v>18</v>
      </c>
      <c r="D19" t="s">
        <v>13</v>
      </c>
      <c r="E19">
        <v>50</v>
      </c>
      <c r="F19">
        <v>10</v>
      </c>
      <c r="G19">
        <v>15.3</v>
      </c>
      <c r="H19">
        <v>7.17</v>
      </c>
      <c r="I19">
        <f t="shared" si="0"/>
        <v>15.600000000000001</v>
      </c>
      <c r="J19">
        <f t="shared" si="1"/>
        <v>7.47</v>
      </c>
      <c r="K19">
        <f t="shared" si="2"/>
        <v>4.7645052000000012</v>
      </c>
      <c r="M19" t="s">
        <v>14</v>
      </c>
      <c r="N19">
        <f>AVERAGE(O10:O12)</f>
        <v>0.82436293333333344</v>
      </c>
      <c r="O19">
        <f>AVERAGE(P10:P12)</f>
        <v>1.3517989333333336</v>
      </c>
      <c r="P19">
        <f>TTEST(O10:O12,P10:P12,2,2)</f>
        <v>5.8764050746027373E-4</v>
      </c>
      <c r="Q19">
        <f>AVERAGE(Q10:Q12)</f>
        <v>0.52743600000000013</v>
      </c>
      <c r="S19" t="s">
        <v>14</v>
      </c>
      <c r="T19">
        <f>AVERAGE(U10:U12)</f>
        <v>5.6728672000000016</v>
      </c>
      <c r="U19">
        <f>AVERAGE(V10:V12)</f>
        <v>3.7213540000000003</v>
      </c>
      <c r="W19" s="12">
        <f>AVERAGE(W10:W12)</f>
        <v>-1.9515132000000006</v>
      </c>
      <c r="Y19" s="12"/>
      <c r="Z19" s="12" t="s">
        <v>14</v>
      </c>
      <c r="AA19" s="12">
        <f>W23</f>
        <v>0.93936563472105006</v>
      </c>
      <c r="AB19" s="12">
        <f>PP!R39</f>
        <v>0.42770137177690704</v>
      </c>
    </row>
    <row r="20" spans="1:28">
      <c r="A20" t="s">
        <v>16</v>
      </c>
      <c r="B20" t="s">
        <v>15</v>
      </c>
      <c r="C20" t="s">
        <v>12</v>
      </c>
      <c r="D20" t="s">
        <v>13</v>
      </c>
      <c r="E20">
        <v>50</v>
      </c>
      <c r="F20">
        <v>10</v>
      </c>
      <c r="G20">
        <v>12.3</v>
      </c>
      <c r="H20">
        <v>5.65</v>
      </c>
      <c r="I20">
        <f t="shared" si="0"/>
        <v>12.600000000000001</v>
      </c>
      <c r="J20">
        <f t="shared" si="1"/>
        <v>5.95</v>
      </c>
      <c r="K20">
        <f t="shared" si="2"/>
        <v>3.8971660000000008</v>
      </c>
      <c r="M20" t="s">
        <v>15</v>
      </c>
      <c r="N20">
        <f>AVERAGE(O13:O15)</f>
        <v>0.94547786666666678</v>
      </c>
      <c r="O20">
        <f>AVERAGE(P13:P15)</f>
        <v>0.78138666666666667</v>
      </c>
      <c r="P20">
        <f>TTEST(O13:O15,P13:P15,2,2)</f>
        <v>0.2030826811848512</v>
      </c>
      <c r="Q20">
        <f>AVERAGE(Q13:Q15)</f>
        <v>-0.1640912000000001</v>
      </c>
      <c r="S20" t="s">
        <v>15</v>
      </c>
      <c r="T20">
        <f>AVERAGE(U13:U15)</f>
        <v>4.2624642666666679</v>
      </c>
      <c r="U20">
        <f>AVERAGE(V13:V15)</f>
        <v>4.4499970666666684</v>
      </c>
      <c r="W20" s="12">
        <f>AVERAGE(W13:W15)</f>
        <v>0.18753280000000064</v>
      </c>
      <c r="Y20" s="12"/>
      <c r="Z20" s="12" t="s">
        <v>15</v>
      </c>
      <c r="AA20" s="12">
        <f>W24</f>
        <v>0.21444580165216612</v>
      </c>
      <c r="AB20" s="12">
        <f>PP!R40</f>
        <v>0.11414588052418631</v>
      </c>
    </row>
    <row r="21" spans="1:28">
      <c r="A21" t="s">
        <v>16</v>
      </c>
      <c r="B21" t="s">
        <v>15</v>
      </c>
      <c r="C21" t="s">
        <v>17</v>
      </c>
      <c r="D21" t="s">
        <v>13</v>
      </c>
      <c r="E21">
        <v>50</v>
      </c>
      <c r="F21">
        <v>10</v>
      </c>
      <c r="G21">
        <v>15</v>
      </c>
      <c r="H21">
        <v>6.92</v>
      </c>
      <c r="I21">
        <f t="shared" si="0"/>
        <v>15.3</v>
      </c>
      <c r="J21">
        <f t="shared" si="1"/>
        <v>7.22</v>
      </c>
      <c r="K21">
        <f t="shared" si="2"/>
        <v>4.7352032000000017</v>
      </c>
      <c r="M21" t="s">
        <v>50</v>
      </c>
      <c r="S21" t="s">
        <v>62</v>
      </c>
    </row>
    <row r="22" spans="1:28">
      <c r="A22" t="s">
        <v>16</v>
      </c>
      <c r="B22" t="s">
        <v>15</v>
      </c>
      <c r="C22" t="s">
        <v>18</v>
      </c>
      <c r="D22" t="s">
        <v>13</v>
      </c>
      <c r="E22">
        <v>50</v>
      </c>
      <c r="F22">
        <v>10</v>
      </c>
      <c r="G22">
        <v>13.2</v>
      </c>
      <c r="H22">
        <v>6.11</v>
      </c>
      <c r="I22">
        <f t="shared" si="0"/>
        <v>13.5</v>
      </c>
      <c r="J22">
        <f t="shared" si="1"/>
        <v>6.41</v>
      </c>
      <c r="K22">
        <f t="shared" si="2"/>
        <v>4.1550235999999998</v>
      </c>
      <c r="M22" t="s">
        <v>11</v>
      </c>
      <c r="N22">
        <f>STDEV(O7:O9)/(SQRT(3))</f>
        <v>5.3959544378769965E-2</v>
      </c>
      <c r="O22" s="12">
        <f>STDEV(P7:P9)/(SQRT(3))</f>
        <v>6.9697982457393406E-2</v>
      </c>
      <c r="Q22" s="12">
        <f>STDEV(Q7:Q9)</f>
        <v>9.7065869655061421E-2</v>
      </c>
      <c r="S22" t="s">
        <v>11</v>
      </c>
      <c r="T22">
        <f>STDEV(U7:U9)/(SQRT(3))</f>
        <v>0.4253177421302064</v>
      </c>
      <c r="U22" s="12">
        <f>STDEV(V7:V9)/(SQRT(3))</f>
        <v>0.24083162300288613</v>
      </c>
      <c r="W22" s="12">
        <f>STDEV(W7:W9)</f>
        <v>0.64016208449202328</v>
      </c>
    </row>
    <row r="23" spans="1:28">
      <c r="A23" t="s">
        <v>10</v>
      </c>
      <c r="B23" t="s">
        <v>11</v>
      </c>
      <c r="C23" t="s">
        <v>12</v>
      </c>
      <c r="D23" t="s">
        <v>21</v>
      </c>
      <c r="E23">
        <v>50</v>
      </c>
      <c r="F23">
        <v>10</v>
      </c>
      <c r="G23">
        <v>3.65</v>
      </c>
      <c r="H23">
        <v>2.16</v>
      </c>
      <c r="I23">
        <f t="shared" si="0"/>
        <v>3.9499999999999997</v>
      </c>
      <c r="J23">
        <f t="shared" si="1"/>
        <v>2.46</v>
      </c>
      <c r="K23">
        <f t="shared" si="2"/>
        <v>0.87319959999999996</v>
      </c>
      <c r="M23" t="s">
        <v>14</v>
      </c>
      <c r="N23">
        <f>STDEV(O10:O12)/(SQRT(3))</f>
        <v>4.667927036866696E-2</v>
      </c>
      <c r="O23" s="12">
        <f>STDEV(P10:P12)/(SQRT(3))</f>
        <v>2.5841934972271479E-2</v>
      </c>
      <c r="Q23" s="12">
        <f>STDEV(Q10:Q12)</f>
        <v>0.1218061266321194</v>
      </c>
      <c r="S23" t="s">
        <v>14</v>
      </c>
      <c r="T23">
        <f>STDEV(U10:U12)/(SQRT(3))</f>
        <v>0.46651876068376563</v>
      </c>
      <c r="U23" s="12">
        <f>STDEV(V10:V12)/(SQRT(3))</f>
        <v>0.96314623567641755</v>
      </c>
      <c r="W23" s="12">
        <f>STDEV(W10:W12)</f>
        <v>0.93936563472105006</v>
      </c>
    </row>
    <row r="24" spans="1:28">
      <c r="A24" t="s">
        <v>10</v>
      </c>
      <c r="B24" t="s">
        <v>11</v>
      </c>
      <c r="C24" t="s">
        <v>17</v>
      </c>
      <c r="D24" t="s">
        <v>21</v>
      </c>
      <c r="E24">
        <v>50</v>
      </c>
      <c r="F24">
        <v>10</v>
      </c>
      <c r="G24">
        <v>4.51</v>
      </c>
      <c r="H24">
        <v>2.61</v>
      </c>
      <c r="I24">
        <f t="shared" si="0"/>
        <v>4.8099999999999996</v>
      </c>
      <c r="J24">
        <f t="shared" si="1"/>
        <v>2.9099999999999997</v>
      </c>
      <c r="K24">
        <f t="shared" si="2"/>
        <v>1.1134760000000001</v>
      </c>
      <c r="M24" t="s">
        <v>15</v>
      </c>
      <c r="N24">
        <f>STDEV(O13:O15)/(SQRT(3))</f>
        <v>2.5619475151879543E-2</v>
      </c>
      <c r="O24" s="12">
        <f>STDEV(P13:P15)/(SQRT(3))</f>
        <v>0.10485222097417744</v>
      </c>
      <c r="Q24" s="12">
        <f>STDEV(Q13:Q15)</f>
        <v>0.20561570641602275</v>
      </c>
      <c r="S24" t="s">
        <v>15</v>
      </c>
      <c r="T24">
        <f>STDEV(U13:U15)/(SQRT(3))</f>
        <v>0.24781324270929905</v>
      </c>
      <c r="U24" s="12">
        <f>STDEV(V13:V15)/(SQRT(3))</f>
        <v>0.13390867952279184</v>
      </c>
      <c r="W24" s="12">
        <f>STDEV(W13:W15)</f>
        <v>0.21444580165216612</v>
      </c>
    </row>
    <row r="25" spans="1:28">
      <c r="A25" t="s">
        <v>10</v>
      </c>
      <c r="B25" t="s">
        <v>11</v>
      </c>
      <c r="C25" t="s">
        <v>18</v>
      </c>
      <c r="D25" t="s">
        <v>21</v>
      </c>
      <c r="E25">
        <v>50</v>
      </c>
      <c r="F25">
        <v>10</v>
      </c>
      <c r="G25">
        <v>4.0199999999999996</v>
      </c>
      <c r="H25">
        <v>2.36</v>
      </c>
      <c r="I25">
        <f t="shared" si="0"/>
        <v>4.3199999999999994</v>
      </c>
      <c r="J25">
        <f t="shared" si="1"/>
        <v>2.6599999999999997</v>
      </c>
      <c r="K25">
        <f t="shared" si="2"/>
        <v>0.97282639999999998</v>
      </c>
    </row>
    <row r="26" spans="1:28">
      <c r="A26" t="s">
        <v>10</v>
      </c>
      <c r="B26" t="s">
        <v>14</v>
      </c>
      <c r="C26" t="s">
        <v>12</v>
      </c>
      <c r="D26" t="s">
        <v>21</v>
      </c>
      <c r="E26">
        <v>50</v>
      </c>
      <c r="F26">
        <v>10</v>
      </c>
      <c r="G26">
        <v>6.02</v>
      </c>
      <c r="H26">
        <v>3.63</v>
      </c>
      <c r="I26">
        <f t="shared" si="0"/>
        <v>6.3199999999999994</v>
      </c>
      <c r="J26">
        <f t="shared" si="1"/>
        <v>3.9299999999999997</v>
      </c>
      <c r="K26">
        <f t="shared" si="2"/>
        <v>1.4006356</v>
      </c>
    </row>
    <row r="27" spans="1:28">
      <c r="A27" t="s">
        <v>10</v>
      </c>
      <c r="B27" t="s">
        <v>14</v>
      </c>
      <c r="C27" t="s">
        <v>17</v>
      </c>
      <c r="D27" t="s">
        <v>21</v>
      </c>
      <c r="E27">
        <v>50</v>
      </c>
      <c r="F27">
        <v>10</v>
      </c>
      <c r="G27">
        <v>5.62</v>
      </c>
      <c r="H27">
        <v>3.33</v>
      </c>
      <c r="I27">
        <f t="shared" si="0"/>
        <v>5.92</v>
      </c>
      <c r="J27">
        <f t="shared" si="1"/>
        <v>3.63</v>
      </c>
      <c r="K27">
        <f t="shared" si="2"/>
        <v>1.3420316000000003</v>
      </c>
    </row>
    <row r="28" spans="1:28">
      <c r="A28" t="s">
        <v>10</v>
      </c>
      <c r="B28" t="s">
        <v>14</v>
      </c>
      <c r="C28" t="s">
        <v>18</v>
      </c>
      <c r="D28" t="s">
        <v>21</v>
      </c>
      <c r="E28">
        <v>50</v>
      </c>
      <c r="F28">
        <v>10</v>
      </c>
      <c r="G28">
        <v>5.28</v>
      </c>
      <c r="H28">
        <v>3.04</v>
      </c>
      <c r="I28">
        <f t="shared" si="0"/>
        <v>5.58</v>
      </c>
      <c r="J28">
        <f t="shared" si="1"/>
        <v>3.34</v>
      </c>
      <c r="K28">
        <f t="shared" si="2"/>
        <v>1.3127296000000002</v>
      </c>
    </row>
    <row r="29" spans="1:28">
      <c r="A29" t="s">
        <v>10</v>
      </c>
      <c r="B29" t="s">
        <v>15</v>
      </c>
      <c r="C29" t="s">
        <v>12</v>
      </c>
      <c r="D29" t="s">
        <v>21</v>
      </c>
      <c r="E29">
        <v>50</v>
      </c>
      <c r="F29">
        <v>10</v>
      </c>
      <c r="G29">
        <v>4.3</v>
      </c>
      <c r="H29">
        <v>2.61</v>
      </c>
      <c r="I29">
        <f t="shared" si="0"/>
        <v>4.5999999999999996</v>
      </c>
      <c r="J29">
        <f t="shared" si="1"/>
        <v>2.9099999999999997</v>
      </c>
      <c r="K29">
        <f t="shared" si="2"/>
        <v>0.99040760000000005</v>
      </c>
    </row>
    <row r="30" spans="1:28">
      <c r="A30" t="s">
        <v>10</v>
      </c>
      <c r="B30" t="s">
        <v>15</v>
      </c>
      <c r="C30" t="s">
        <v>17</v>
      </c>
      <c r="D30" t="s">
        <v>21</v>
      </c>
      <c r="E30">
        <v>50</v>
      </c>
      <c r="F30">
        <v>10</v>
      </c>
      <c r="G30">
        <v>3.11</v>
      </c>
      <c r="H30">
        <v>1.93</v>
      </c>
      <c r="I30">
        <f t="shared" si="0"/>
        <v>3.4099999999999997</v>
      </c>
      <c r="J30">
        <f t="shared" si="1"/>
        <v>2.23</v>
      </c>
      <c r="K30">
        <f t="shared" si="2"/>
        <v>0.6915271999999999</v>
      </c>
    </row>
    <row r="31" spans="1:28">
      <c r="A31" t="s">
        <v>10</v>
      </c>
      <c r="B31" t="s">
        <v>15</v>
      </c>
      <c r="C31" t="s">
        <v>18</v>
      </c>
      <c r="D31" t="s">
        <v>21</v>
      </c>
      <c r="E31">
        <v>50</v>
      </c>
      <c r="F31">
        <v>10</v>
      </c>
      <c r="G31">
        <v>2.95</v>
      </c>
      <c r="H31">
        <v>1.82</v>
      </c>
      <c r="I31">
        <f t="shared" si="0"/>
        <v>3.25</v>
      </c>
      <c r="J31">
        <f t="shared" si="1"/>
        <v>2.12</v>
      </c>
      <c r="K31">
        <f t="shared" si="2"/>
        <v>0.66222519999999996</v>
      </c>
    </row>
    <row r="32" spans="1:28">
      <c r="A32" t="s">
        <v>16</v>
      </c>
      <c r="B32" t="s">
        <v>11</v>
      </c>
      <c r="C32" t="s">
        <v>12</v>
      </c>
      <c r="D32" t="s">
        <v>21</v>
      </c>
      <c r="E32">
        <v>50</v>
      </c>
      <c r="F32">
        <v>10</v>
      </c>
      <c r="G32">
        <v>16.3</v>
      </c>
      <c r="H32">
        <v>7.45</v>
      </c>
      <c r="I32">
        <f t="shared" si="0"/>
        <v>16.600000000000001</v>
      </c>
      <c r="J32">
        <f t="shared" si="1"/>
        <v>7.75</v>
      </c>
      <c r="K32">
        <f t="shared" si="2"/>
        <v>5.1864540000000012</v>
      </c>
    </row>
    <row r="33" spans="1:13">
      <c r="A33" t="s">
        <v>16</v>
      </c>
      <c r="B33" t="s">
        <v>11</v>
      </c>
      <c r="C33" t="s">
        <v>17</v>
      </c>
      <c r="D33" t="s">
        <v>21</v>
      </c>
      <c r="E33">
        <v>50</v>
      </c>
      <c r="F33">
        <v>10</v>
      </c>
      <c r="G33">
        <v>17</v>
      </c>
      <c r="H33">
        <v>7.8</v>
      </c>
      <c r="I33">
        <f t="shared" si="0"/>
        <v>17.3</v>
      </c>
      <c r="J33">
        <f t="shared" si="1"/>
        <v>8.1</v>
      </c>
      <c r="K33">
        <f t="shared" si="2"/>
        <v>5.3915680000000012</v>
      </c>
    </row>
    <row r="34" spans="1:13">
      <c r="A34" t="s">
        <v>16</v>
      </c>
      <c r="B34" t="s">
        <v>11</v>
      </c>
      <c r="C34" t="s">
        <v>18</v>
      </c>
      <c r="D34" t="s">
        <v>21</v>
      </c>
      <c r="E34">
        <v>50</v>
      </c>
      <c r="F34">
        <v>10</v>
      </c>
      <c r="G34">
        <v>18.399999999999999</v>
      </c>
      <c r="H34">
        <v>8.18</v>
      </c>
      <c r="I34">
        <f t="shared" si="0"/>
        <v>18.7</v>
      </c>
      <c r="J34">
        <f t="shared" si="1"/>
        <v>8.48</v>
      </c>
      <c r="K34">
        <f t="shared" si="2"/>
        <v>5.9893288</v>
      </c>
    </row>
    <row r="35" spans="1:13">
      <c r="A35" t="s">
        <v>16</v>
      </c>
      <c r="B35" t="s">
        <v>14</v>
      </c>
      <c r="C35" t="s">
        <v>12</v>
      </c>
      <c r="D35" t="s">
        <v>21</v>
      </c>
      <c r="E35">
        <v>50</v>
      </c>
      <c r="F35">
        <v>10</v>
      </c>
      <c r="G35">
        <v>17.3</v>
      </c>
      <c r="H35">
        <v>8.0500000000000007</v>
      </c>
      <c r="I35">
        <f t="shared" si="0"/>
        <v>17.600000000000001</v>
      </c>
      <c r="J35">
        <f t="shared" si="1"/>
        <v>8.3500000000000014</v>
      </c>
      <c r="K35">
        <f t="shared" si="2"/>
        <v>5.4208700000000007</v>
      </c>
    </row>
    <row r="36" spans="1:13">
      <c r="A36" t="s">
        <v>16</v>
      </c>
      <c r="B36" t="s">
        <v>14</v>
      </c>
      <c r="C36" t="s">
        <v>17</v>
      </c>
      <c r="D36" t="s">
        <v>21</v>
      </c>
      <c r="E36">
        <v>50</v>
      </c>
      <c r="F36">
        <v>10</v>
      </c>
      <c r="G36">
        <v>11.7</v>
      </c>
      <c r="H36">
        <v>5.46</v>
      </c>
      <c r="I36">
        <f t="shared" si="0"/>
        <v>12</v>
      </c>
      <c r="J36">
        <f t="shared" si="1"/>
        <v>5.76</v>
      </c>
      <c r="K36">
        <f t="shared" si="2"/>
        <v>3.6568896000000004</v>
      </c>
    </row>
    <row r="37" spans="1:13">
      <c r="A37" t="s">
        <v>16</v>
      </c>
      <c r="B37" t="s">
        <v>14</v>
      </c>
      <c r="C37" t="s">
        <v>18</v>
      </c>
      <c r="D37" t="s">
        <v>21</v>
      </c>
      <c r="E37">
        <v>50</v>
      </c>
      <c r="F37">
        <v>10</v>
      </c>
      <c r="G37">
        <v>6.72</v>
      </c>
      <c r="H37">
        <v>3.16</v>
      </c>
      <c r="I37">
        <f t="shared" si="0"/>
        <v>7.02</v>
      </c>
      <c r="J37">
        <f t="shared" si="1"/>
        <v>3.46</v>
      </c>
      <c r="K37">
        <f t="shared" si="2"/>
        <v>2.0863024000000001</v>
      </c>
    </row>
    <row r="38" spans="1:13">
      <c r="A38" t="s">
        <v>16</v>
      </c>
      <c r="B38" t="s">
        <v>15</v>
      </c>
      <c r="C38" t="s">
        <v>12</v>
      </c>
      <c r="D38" t="s">
        <v>21</v>
      </c>
      <c r="E38">
        <v>50</v>
      </c>
      <c r="F38">
        <v>10</v>
      </c>
      <c r="G38">
        <v>14</v>
      </c>
      <c r="H38">
        <v>6.65</v>
      </c>
      <c r="I38">
        <f t="shared" si="0"/>
        <v>14.3</v>
      </c>
      <c r="J38">
        <f t="shared" si="1"/>
        <v>6.95</v>
      </c>
      <c r="K38">
        <f t="shared" si="2"/>
        <v>4.3073940000000013</v>
      </c>
    </row>
    <row r="39" spans="1:13">
      <c r="A39" t="s">
        <v>16</v>
      </c>
      <c r="B39" t="s">
        <v>15</v>
      </c>
      <c r="C39" t="s">
        <v>17</v>
      </c>
      <c r="D39" t="s">
        <v>21</v>
      </c>
      <c r="E39">
        <v>50</v>
      </c>
      <c r="F39">
        <v>10</v>
      </c>
      <c r="G39">
        <v>15.4</v>
      </c>
      <c r="H39">
        <v>7.35</v>
      </c>
      <c r="I39">
        <f t="shared" si="0"/>
        <v>15.700000000000001</v>
      </c>
      <c r="J39">
        <f t="shared" si="1"/>
        <v>7.6499999999999995</v>
      </c>
      <c r="K39">
        <f t="shared" si="2"/>
        <v>4.7176220000000013</v>
      </c>
    </row>
    <row r="40" spans="1:13">
      <c r="A40" t="s">
        <v>16</v>
      </c>
      <c r="B40" t="s">
        <v>15</v>
      </c>
      <c r="C40" t="s">
        <v>18</v>
      </c>
      <c r="D40" t="s">
        <v>21</v>
      </c>
      <c r="E40">
        <v>50</v>
      </c>
      <c r="F40">
        <v>10</v>
      </c>
      <c r="G40">
        <v>14.3</v>
      </c>
      <c r="H40">
        <v>6.92</v>
      </c>
      <c r="I40">
        <f t="shared" si="0"/>
        <v>14.600000000000001</v>
      </c>
      <c r="J40">
        <f t="shared" si="1"/>
        <v>7.22</v>
      </c>
      <c r="K40">
        <f t="shared" si="2"/>
        <v>4.3249752000000017</v>
      </c>
    </row>
    <row r="41" spans="1:13">
      <c r="A41" t="s">
        <v>56</v>
      </c>
      <c r="G41">
        <v>-0.2</v>
      </c>
      <c r="H41">
        <v>-0.2</v>
      </c>
    </row>
    <row r="42" spans="1:13">
      <c r="A42" t="s">
        <v>57</v>
      </c>
      <c r="G42">
        <v>-0.3</v>
      </c>
      <c r="H42">
        <v>-0.3</v>
      </c>
    </row>
    <row r="43" spans="1:13">
      <c r="A43" t="s">
        <v>58</v>
      </c>
      <c r="M43" t="s">
        <v>71</v>
      </c>
    </row>
    <row r="44" spans="1:13">
      <c r="M44" t="s">
        <v>68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H91"/>
  <sheetViews>
    <sheetView workbookViewId="0">
      <selection activeCell="F94" sqref="F94"/>
    </sheetView>
  </sheetViews>
  <sheetFormatPr defaultRowHeight="15"/>
  <cols>
    <col min="2" max="2" width="23.42578125" bestFit="1" customWidth="1"/>
    <col min="10" max="10" width="12" bestFit="1" customWidth="1"/>
    <col min="15" max="15" width="14.42578125" customWidth="1"/>
    <col min="28" max="28" width="10.85546875" customWidth="1"/>
  </cols>
  <sheetData>
    <row r="2" spans="1:34" ht="39.75">
      <c r="A2" s="12"/>
      <c r="B2" s="13" t="s">
        <v>76</v>
      </c>
      <c r="C2" s="13" t="s">
        <v>77</v>
      </c>
      <c r="D2" s="13" t="s">
        <v>78</v>
      </c>
      <c r="E2" s="13" t="s">
        <v>79</v>
      </c>
      <c r="F2" s="13" t="s">
        <v>87</v>
      </c>
      <c r="G2" s="13" t="s">
        <v>88</v>
      </c>
      <c r="H2" s="13" t="s">
        <v>80</v>
      </c>
      <c r="I2" s="13" t="s">
        <v>81</v>
      </c>
      <c r="J2" s="13" t="s">
        <v>82</v>
      </c>
      <c r="K2" s="13" t="s">
        <v>83</v>
      </c>
      <c r="L2" s="13" t="s">
        <v>76</v>
      </c>
    </row>
    <row r="3" spans="1:34">
      <c r="A3" s="12"/>
      <c r="B3" s="14"/>
      <c r="C3" s="14"/>
      <c r="D3" s="14"/>
      <c r="E3" s="14"/>
      <c r="F3" s="14"/>
      <c r="G3" s="14"/>
      <c r="H3" s="14" t="s">
        <v>84</v>
      </c>
      <c r="I3" s="14"/>
      <c r="J3" s="14"/>
      <c r="K3" s="15"/>
      <c r="L3" s="14"/>
    </row>
    <row r="4" spans="1:34">
      <c r="A4" s="12"/>
      <c r="B4" s="12"/>
      <c r="C4" s="14"/>
      <c r="D4" s="14"/>
      <c r="E4" s="14"/>
      <c r="F4" s="14"/>
      <c r="G4" s="14"/>
      <c r="H4" s="14" t="s">
        <v>89</v>
      </c>
      <c r="I4" s="14">
        <v>52.1</v>
      </c>
      <c r="J4" s="12"/>
      <c r="K4" s="15"/>
      <c r="L4" s="12"/>
    </row>
    <row r="5" spans="1:34">
      <c r="A5" s="8" t="s">
        <v>267</v>
      </c>
      <c r="B5" s="8" t="s">
        <v>92</v>
      </c>
      <c r="C5" s="14">
        <v>100</v>
      </c>
      <c r="D5" s="14">
        <v>1</v>
      </c>
      <c r="E5" s="14">
        <v>500</v>
      </c>
      <c r="F5" s="14">
        <v>10</v>
      </c>
      <c r="G5" s="14">
        <v>510</v>
      </c>
      <c r="H5" s="14" t="s">
        <v>89</v>
      </c>
      <c r="I5" s="14">
        <v>52.1</v>
      </c>
      <c r="J5" s="3">
        <v>7191</v>
      </c>
      <c r="K5" s="15">
        <f>((J5/((I5*D5)/1000))*C5)/100000</f>
        <v>138.02303262955851</v>
      </c>
      <c r="L5" s="3" t="s">
        <v>92</v>
      </c>
    </row>
    <row r="6" spans="1:34">
      <c r="A6" s="8" t="s">
        <v>268</v>
      </c>
      <c r="B6" s="8" t="s">
        <v>94</v>
      </c>
      <c r="C6" s="14">
        <v>100</v>
      </c>
      <c r="D6" s="14">
        <v>1</v>
      </c>
      <c r="E6" s="14">
        <v>500</v>
      </c>
      <c r="F6" s="14">
        <v>10</v>
      </c>
      <c r="G6" s="14">
        <v>510</v>
      </c>
      <c r="H6" s="14" t="s">
        <v>89</v>
      </c>
      <c r="I6" s="14">
        <v>52.1</v>
      </c>
      <c r="J6" s="3">
        <v>7325</v>
      </c>
      <c r="K6" s="15">
        <f t="shared" ref="K6:K69" si="0">((J6/((I6*D6)/1000))*C6)/100000</f>
        <v>140.595009596929</v>
      </c>
      <c r="L6" s="3" t="s">
        <v>94</v>
      </c>
      <c r="O6" t="s">
        <v>10</v>
      </c>
      <c r="U6" t="s">
        <v>16</v>
      </c>
    </row>
    <row r="7" spans="1:34">
      <c r="A7" s="8" t="s">
        <v>269</v>
      </c>
      <c r="B7" s="8" t="s">
        <v>96</v>
      </c>
      <c r="C7" s="14">
        <v>100</v>
      </c>
      <c r="D7" s="14">
        <v>1</v>
      </c>
      <c r="E7" s="14">
        <v>500</v>
      </c>
      <c r="F7" s="14">
        <v>10</v>
      </c>
      <c r="G7" s="14">
        <v>510</v>
      </c>
      <c r="H7" s="14" t="s">
        <v>89</v>
      </c>
      <c r="I7" s="14">
        <v>52.1</v>
      </c>
      <c r="J7" s="3">
        <v>7512</v>
      </c>
      <c r="K7" s="15">
        <f t="shared" si="0"/>
        <v>144.18426103646831</v>
      </c>
      <c r="L7" s="3" t="s">
        <v>96</v>
      </c>
      <c r="P7">
        <v>0</v>
      </c>
      <c r="Q7">
        <v>6.5</v>
      </c>
      <c r="R7">
        <v>19.5</v>
      </c>
      <c r="S7">
        <v>25.5</v>
      </c>
      <c r="V7">
        <v>0</v>
      </c>
      <c r="W7">
        <v>6.5</v>
      </c>
      <c r="X7">
        <v>19.5</v>
      </c>
      <c r="Y7">
        <v>25.5</v>
      </c>
      <c r="AA7" s="16">
        <f>S8-P8</f>
        <v>64.395393474088266</v>
      </c>
      <c r="AB7">
        <f>TTEST(AA7:AA9,AA13:AA15,2,2)</f>
        <v>3.7313145206737937E-5</v>
      </c>
      <c r="AC7" s="16">
        <f>Y8-V8</f>
        <v>35.458733205374273</v>
      </c>
      <c r="AD7">
        <f>TTEST(AC7:AC9,AC13:AC15,2,2)</f>
        <v>6.1482965303565149E-3</v>
      </c>
    </row>
    <row r="8" spans="1:34">
      <c r="A8" s="8" t="s">
        <v>270</v>
      </c>
      <c r="B8" s="8" t="s">
        <v>98</v>
      </c>
      <c r="C8" s="14">
        <v>100</v>
      </c>
      <c r="D8" s="14">
        <v>1</v>
      </c>
      <c r="E8" s="14">
        <v>500</v>
      </c>
      <c r="F8" s="14">
        <v>10</v>
      </c>
      <c r="G8" s="14">
        <v>510</v>
      </c>
      <c r="H8" s="14" t="s">
        <v>89</v>
      </c>
      <c r="I8" s="14">
        <v>52.1</v>
      </c>
      <c r="J8" s="3">
        <v>9911</v>
      </c>
      <c r="K8" s="15">
        <f t="shared" si="0"/>
        <v>190.2303262955854</v>
      </c>
      <c r="L8" s="3" t="s">
        <v>98</v>
      </c>
      <c r="O8" t="s">
        <v>248</v>
      </c>
      <c r="P8" s="16">
        <f>K41</f>
        <v>122.26487523992323</v>
      </c>
      <c r="Q8" s="16">
        <f>K5</f>
        <v>138.02303262955851</v>
      </c>
      <c r="R8" s="16">
        <f>K23</f>
        <v>180.0383877159309</v>
      </c>
      <c r="S8" s="16">
        <f>K59</f>
        <v>186.66026871401149</v>
      </c>
      <c r="U8" t="s">
        <v>257</v>
      </c>
      <c r="V8" s="16">
        <f t="shared" ref="V8:V16" si="1">K50</f>
        <v>14.266794625719772</v>
      </c>
      <c r="W8" s="16">
        <f t="shared" ref="W8:W16" si="2">K14</f>
        <v>17.581573896353166</v>
      </c>
      <c r="X8" s="16">
        <f t="shared" ref="X8:X16" si="3">K32</f>
        <v>38.065259117082533</v>
      </c>
      <c r="Y8" s="16">
        <f t="shared" ref="Y8:Y16" si="4">K69</f>
        <v>49.725527831094048</v>
      </c>
      <c r="AA8" s="16">
        <f t="shared" ref="AA8:AA15" si="5">S9-P9</f>
        <v>60.595009596928989</v>
      </c>
      <c r="AB8" s="12"/>
      <c r="AC8" s="16">
        <f t="shared" ref="AC8:AC15" si="6">Y9-V9</f>
        <v>53.437619961612285</v>
      </c>
      <c r="AE8" t="s">
        <v>10</v>
      </c>
      <c r="AF8" t="s">
        <v>16</v>
      </c>
      <c r="AG8" t="s">
        <v>10</v>
      </c>
      <c r="AH8" t="s">
        <v>16</v>
      </c>
    </row>
    <row r="9" spans="1:34">
      <c r="A9" s="8" t="s">
        <v>271</v>
      </c>
      <c r="B9" s="8" t="s">
        <v>100</v>
      </c>
      <c r="C9" s="14">
        <v>100</v>
      </c>
      <c r="D9" s="14">
        <v>1</v>
      </c>
      <c r="E9" s="14">
        <v>500</v>
      </c>
      <c r="F9" s="14">
        <v>10</v>
      </c>
      <c r="G9" s="14">
        <v>510</v>
      </c>
      <c r="H9" s="14" t="s">
        <v>89</v>
      </c>
      <c r="I9" s="14">
        <v>52.1</v>
      </c>
      <c r="J9" s="3">
        <v>11515</v>
      </c>
      <c r="K9" s="15">
        <f t="shared" si="0"/>
        <v>221.01727447216891</v>
      </c>
      <c r="L9" s="3" t="s">
        <v>100</v>
      </c>
      <c r="N9" s="12"/>
      <c r="O9" t="s">
        <v>249</v>
      </c>
      <c r="P9" s="16">
        <f t="shared" ref="P9:P16" si="7">K42</f>
        <v>122.11132437619962</v>
      </c>
      <c r="Q9" s="16">
        <f t="shared" ref="Q9:Q16" si="8">K6</f>
        <v>140.595009596929</v>
      </c>
      <c r="R9" s="16">
        <f t="shared" ref="R9:R16" si="9">K24</f>
        <v>178.57965451055665</v>
      </c>
      <c r="S9" s="16">
        <f t="shared" ref="S9:S16" si="10">K60</f>
        <v>182.70633397312861</v>
      </c>
      <c r="U9" t="s">
        <v>258</v>
      </c>
      <c r="V9" s="16">
        <f t="shared" si="1"/>
        <v>14.295585412667945</v>
      </c>
      <c r="W9" s="16">
        <f t="shared" si="2"/>
        <v>23.742802303262959</v>
      </c>
      <c r="X9" s="16">
        <f t="shared" si="3"/>
        <v>57.381957773512468</v>
      </c>
      <c r="Y9" s="16">
        <f t="shared" si="4"/>
        <v>67.733205374280232</v>
      </c>
      <c r="AA9" s="16">
        <f t="shared" si="5"/>
        <v>60.76775431861806</v>
      </c>
      <c r="AB9" s="12"/>
      <c r="AC9" s="16">
        <f t="shared" si="6"/>
        <v>48.261036468330133</v>
      </c>
      <c r="AD9" s="1" t="s">
        <v>628</v>
      </c>
      <c r="AE9" s="16">
        <f>P8</f>
        <v>122.26487523992323</v>
      </c>
      <c r="AF9" s="16">
        <f>V8</f>
        <v>14.266794625719772</v>
      </c>
      <c r="AG9">
        <f>AE9*100000</f>
        <v>12226487.523992322</v>
      </c>
      <c r="AH9">
        <f>AF9*100000</f>
        <v>1426679.4625719772</v>
      </c>
    </row>
    <row r="10" spans="1:34">
      <c r="A10" s="8" t="s">
        <v>90</v>
      </c>
      <c r="B10" s="8" t="s">
        <v>102</v>
      </c>
      <c r="C10" s="14">
        <v>100</v>
      </c>
      <c r="D10" s="14">
        <v>1</v>
      </c>
      <c r="E10" s="14">
        <v>500</v>
      </c>
      <c r="F10" s="14">
        <v>10</v>
      </c>
      <c r="G10" s="14">
        <v>510</v>
      </c>
      <c r="H10" s="14" t="s">
        <v>89</v>
      </c>
      <c r="I10" s="14">
        <v>52.1</v>
      </c>
      <c r="J10" s="3">
        <v>8913</v>
      </c>
      <c r="K10" s="15">
        <f t="shared" si="0"/>
        <v>171.07485604606524</v>
      </c>
      <c r="L10" s="3" t="s">
        <v>102</v>
      </c>
      <c r="N10" s="12"/>
      <c r="O10" t="s">
        <v>250</v>
      </c>
      <c r="P10" s="16">
        <f t="shared" si="7"/>
        <v>124.24184261036469</v>
      </c>
      <c r="Q10" s="16">
        <f t="shared" si="8"/>
        <v>144.18426103646831</v>
      </c>
      <c r="R10" s="16">
        <f t="shared" si="9"/>
        <v>181.84261036468331</v>
      </c>
      <c r="S10" s="16">
        <f t="shared" si="10"/>
        <v>185.00959692898275</v>
      </c>
      <c r="U10" t="s">
        <v>259</v>
      </c>
      <c r="V10" s="16">
        <f t="shared" si="1"/>
        <v>14.523992322456813</v>
      </c>
      <c r="W10" s="16">
        <f t="shared" si="2"/>
        <v>27.639155470249516</v>
      </c>
      <c r="X10" s="16">
        <f t="shared" si="3"/>
        <v>54.963531669865638</v>
      </c>
      <c r="Y10" s="16">
        <f t="shared" si="4"/>
        <v>62.785028790786946</v>
      </c>
      <c r="AA10" s="16">
        <f t="shared" si="5"/>
        <v>22.226487523992319</v>
      </c>
      <c r="AB10" s="12"/>
      <c r="AC10" s="16">
        <f t="shared" si="6"/>
        <v>20.796545105566217</v>
      </c>
      <c r="AE10" s="16">
        <f>P9</f>
        <v>122.11132437619962</v>
      </c>
      <c r="AF10" s="16">
        <f>V9</f>
        <v>14.295585412667945</v>
      </c>
      <c r="AG10" s="12">
        <f t="shared" ref="AG10:AG32" si="11">AE10*100000</f>
        <v>12211132.437619962</v>
      </c>
      <c r="AH10" s="12">
        <f t="shared" ref="AH10:AH32" si="12">AF10*100000</f>
        <v>1429558.5412667945</v>
      </c>
    </row>
    <row r="11" spans="1:34">
      <c r="A11" s="8" t="s">
        <v>91</v>
      </c>
      <c r="B11" s="8" t="s">
        <v>104</v>
      </c>
      <c r="C11" s="14">
        <v>100</v>
      </c>
      <c r="D11" s="14">
        <v>1</v>
      </c>
      <c r="E11" s="14">
        <v>500</v>
      </c>
      <c r="F11" s="14">
        <v>10</v>
      </c>
      <c r="G11" s="14">
        <v>510</v>
      </c>
      <c r="H11" s="14" t="s">
        <v>89</v>
      </c>
      <c r="I11" s="14">
        <v>52.1</v>
      </c>
      <c r="J11" s="3">
        <v>7947</v>
      </c>
      <c r="K11" s="15">
        <f t="shared" si="0"/>
        <v>152.53358925143951</v>
      </c>
      <c r="L11" s="3" t="s">
        <v>104</v>
      </c>
      <c r="N11" s="12"/>
      <c r="O11" t="s">
        <v>251</v>
      </c>
      <c r="P11" s="16">
        <f t="shared" si="7"/>
        <v>134.16506717850288</v>
      </c>
      <c r="Q11" s="16">
        <f t="shared" si="8"/>
        <v>190.2303262955854</v>
      </c>
      <c r="R11" s="16">
        <f t="shared" si="9"/>
        <v>151.78502879078695</v>
      </c>
      <c r="S11" s="16">
        <f t="shared" si="10"/>
        <v>156.3915547024952</v>
      </c>
      <c r="U11" t="s">
        <v>260</v>
      </c>
      <c r="V11" s="16">
        <f t="shared" si="1"/>
        <v>14.525911708253361</v>
      </c>
      <c r="W11" s="16">
        <f t="shared" si="2"/>
        <v>17.675623800383878</v>
      </c>
      <c r="X11" s="16">
        <f t="shared" si="3"/>
        <v>32.880998080614205</v>
      </c>
      <c r="Y11" s="16">
        <f t="shared" si="4"/>
        <v>35.322456813819578</v>
      </c>
      <c r="AA11" s="16">
        <f t="shared" si="5"/>
        <v>22.111324376199605</v>
      </c>
      <c r="AB11" s="12"/>
      <c r="AC11" s="16">
        <f t="shared" si="6"/>
        <v>22.134357005758162</v>
      </c>
      <c r="AE11" s="16">
        <f>P10</f>
        <v>124.24184261036469</v>
      </c>
      <c r="AF11" s="16">
        <f>V10</f>
        <v>14.523992322456813</v>
      </c>
      <c r="AG11" s="12">
        <f t="shared" si="11"/>
        <v>12424184.261036469</v>
      </c>
      <c r="AH11" s="12">
        <f t="shared" si="12"/>
        <v>1452399.2322456813</v>
      </c>
    </row>
    <row r="12" spans="1:34">
      <c r="A12" s="8" t="s">
        <v>272</v>
      </c>
      <c r="B12" s="8" t="s">
        <v>106</v>
      </c>
      <c r="C12" s="14">
        <v>100</v>
      </c>
      <c r="D12" s="14">
        <v>1</v>
      </c>
      <c r="E12" s="14">
        <v>500</v>
      </c>
      <c r="F12" s="14">
        <v>10</v>
      </c>
      <c r="G12" s="14">
        <v>510</v>
      </c>
      <c r="H12" s="14" t="s">
        <v>89</v>
      </c>
      <c r="I12" s="14">
        <v>52.1</v>
      </c>
      <c r="J12" s="3">
        <v>12506</v>
      </c>
      <c r="K12" s="15">
        <f t="shared" si="0"/>
        <v>240.0383877159309</v>
      </c>
      <c r="L12" s="3" t="s">
        <v>106</v>
      </c>
      <c r="N12" s="12"/>
      <c r="O12" t="s">
        <v>252</v>
      </c>
      <c r="P12" s="16">
        <f t="shared" si="7"/>
        <v>123.97312859884838</v>
      </c>
      <c r="Q12" s="16">
        <f t="shared" si="8"/>
        <v>221.01727447216891</v>
      </c>
      <c r="R12" s="16">
        <f t="shared" si="9"/>
        <v>149.23224568138195</v>
      </c>
      <c r="S12" s="16">
        <f t="shared" si="10"/>
        <v>146.08445297504798</v>
      </c>
      <c r="U12" t="s">
        <v>261</v>
      </c>
      <c r="V12" s="16">
        <f t="shared" si="1"/>
        <v>14.483685220729368</v>
      </c>
      <c r="W12" s="16">
        <f t="shared" si="2"/>
        <v>22.28598848368522</v>
      </c>
      <c r="X12" s="16">
        <f t="shared" si="3"/>
        <v>30.537428023032628</v>
      </c>
      <c r="Y12" s="16">
        <f t="shared" si="4"/>
        <v>36.618042226487532</v>
      </c>
      <c r="AA12" s="16">
        <f t="shared" si="5"/>
        <v>12.47600767754318</v>
      </c>
      <c r="AB12" s="12"/>
      <c r="AC12" s="16">
        <f t="shared" si="6"/>
        <v>33.558541266794627</v>
      </c>
      <c r="AE12" s="16">
        <f>P14</f>
        <v>118.46449136276392</v>
      </c>
      <c r="AF12" s="16">
        <f>V14</f>
        <v>13.877159309021113</v>
      </c>
      <c r="AG12" s="12">
        <f t="shared" si="11"/>
        <v>11846449.136276392</v>
      </c>
      <c r="AH12" s="12">
        <f t="shared" si="12"/>
        <v>1387715.9309021113</v>
      </c>
    </row>
    <row r="13" spans="1:34">
      <c r="A13" s="8" t="s">
        <v>273</v>
      </c>
      <c r="B13" s="8" t="s">
        <v>108</v>
      </c>
      <c r="C13" s="14">
        <v>100</v>
      </c>
      <c r="D13" s="14">
        <v>1</v>
      </c>
      <c r="E13" s="14">
        <v>500</v>
      </c>
      <c r="F13" s="14">
        <v>10</v>
      </c>
      <c r="G13" s="14">
        <v>510</v>
      </c>
      <c r="H13" s="14" t="s">
        <v>89</v>
      </c>
      <c r="I13" s="14">
        <v>52.1</v>
      </c>
      <c r="J13" s="3">
        <v>12224</v>
      </c>
      <c r="K13" s="15">
        <f t="shared" si="0"/>
        <v>234.62571976967371</v>
      </c>
      <c r="L13" s="3" t="s">
        <v>108</v>
      </c>
      <c r="N13" s="12"/>
      <c r="O13" t="s">
        <v>253</v>
      </c>
      <c r="P13" s="16">
        <f t="shared" si="7"/>
        <v>126.75623800383877</v>
      </c>
      <c r="Q13" s="16">
        <f t="shared" si="8"/>
        <v>171.07485604606524</v>
      </c>
      <c r="R13" s="16">
        <f t="shared" si="9"/>
        <v>128.02303262955854</v>
      </c>
      <c r="S13" s="16">
        <f t="shared" si="10"/>
        <v>139.23224568138195</v>
      </c>
      <c r="U13" t="s">
        <v>262</v>
      </c>
      <c r="V13" s="16">
        <f t="shared" si="1"/>
        <v>14.261036468330133</v>
      </c>
      <c r="W13" s="16">
        <f t="shared" si="2"/>
        <v>14.410748560460652</v>
      </c>
      <c r="X13" s="16">
        <f t="shared" si="3"/>
        <v>34.230326295585414</v>
      </c>
      <c r="Y13" s="16">
        <f t="shared" si="4"/>
        <v>47.81957773512476</v>
      </c>
      <c r="AA13" s="16">
        <f t="shared" si="5"/>
        <v>14.107485604606509</v>
      </c>
      <c r="AB13" s="12"/>
      <c r="AC13" s="16">
        <f t="shared" si="6"/>
        <v>17.303262955854127</v>
      </c>
      <c r="AE13" s="16">
        <f>P15</f>
        <v>120.8637236084453</v>
      </c>
      <c r="AF13" s="16">
        <f>V15</f>
        <v>14.81573896353167</v>
      </c>
      <c r="AG13" s="12">
        <f t="shared" si="11"/>
        <v>12086372.36084453</v>
      </c>
      <c r="AH13" s="12">
        <f t="shared" si="12"/>
        <v>1481573.896353167</v>
      </c>
    </row>
    <row r="14" spans="1:34">
      <c r="A14" s="8" t="s">
        <v>274</v>
      </c>
      <c r="B14" s="8" t="s">
        <v>275</v>
      </c>
      <c r="C14" s="14">
        <v>100</v>
      </c>
      <c r="D14" s="14">
        <v>1</v>
      </c>
      <c r="E14" s="14">
        <v>500</v>
      </c>
      <c r="F14" s="14">
        <v>10</v>
      </c>
      <c r="G14" s="14">
        <v>510</v>
      </c>
      <c r="H14" s="14" t="s">
        <v>89</v>
      </c>
      <c r="I14" s="14">
        <v>52.1</v>
      </c>
      <c r="J14" s="3">
        <v>916</v>
      </c>
      <c r="K14" s="15">
        <f t="shared" si="0"/>
        <v>17.581573896353166</v>
      </c>
      <c r="L14" s="3" t="s">
        <v>275</v>
      </c>
      <c r="N14" s="12"/>
      <c r="O14" t="s">
        <v>254</v>
      </c>
      <c r="P14" s="16">
        <f>K68</f>
        <v>118.46449136276392</v>
      </c>
      <c r="Q14" s="16">
        <f t="shared" si="8"/>
        <v>152.53358925143951</v>
      </c>
      <c r="R14" s="16">
        <f t="shared" si="9"/>
        <v>140.71017274472169</v>
      </c>
      <c r="S14" s="16">
        <f t="shared" si="10"/>
        <v>132.57197696737043</v>
      </c>
      <c r="U14" t="s">
        <v>263</v>
      </c>
      <c r="V14" s="16">
        <f t="shared" si="1"/>
        <v>13.877159309021113</v>
      </c>
      <c r="W14" s="16">
        <f t="shared" si="2"/>
        <v>19.965451055662189</v>
      </c>
      <c r="X14" s="16">
        <f t="shared" si="3"/>
        <v>28.527831094049901</v>
      </c>
      <c r="Y14" s="16">
        <f t="shared" si="4"/>
        <v>31.18042226487524</v>
      </c>
      <c r="AA14" s="16">
        <f t="shared" si="5"/>
        <v>10.268714011516323</v>
      </c>
      <c r="AB14" s="12"/>
      <c r="AC14" s="16">
        <f t="shared" si="6"/>
        <v>17.406909788867559</v>
      </c>
      <c r="AE14" s="16">
        <f>P16</f>
        <v>118.00383877159308</v>
      </c>
      <c r="AF14" s="16">
        <f>V16</f>
        <v>14.554702495201536</v>
      </c>
      <c r="AG14" s="12">
        <f t="shared" si="11"/>
        <v>11800383.877159309</v>
      </c>
      <c r="AH14" s="12">
        <f t="shared" si="12"/>
        <v>1455470.2495201535</v>
      </c>
    </row>
    <row r="15" spans="1:34">
      <c r="A15" s="8" t="s">
        <v>276</v>
      </c>
      <c r="B15" s="8" t="s">
        <v>277</v>
      </c>
      <c r="C15" s="14">
        <v>100</v>
      </c>
      <c r="D15" s="14">
        <v>1</v>
      </c>
      <c r="E15" s="14">
        <v>500</v>
      </c>
      <c r="F15" s="14">
        <v>10</v>
      </c>
      <c r="G15" s="14">
        <v>510</v>
      </c>
      <c r="H15" s="14" t="s">
        <v>89</v>
      </c>
      <c r="I15" s="14">
        <v>52.1</v>
      </c>
      <c r="J15" s="3">
        <v>1237</v>
      </c>
      <c r="K15" s="15">
        <f t="shared" si="0"/>
        <v>23.742802303262959</v>
      </c>
      <c r="L15" s="3" t="s">
        <v>277</v>
      </c>
      <c r="N15" s="12"/>
      <c r="O15" t="s">
        <v>255</v>
      </c>
      <c r="P15" s="16">
        <f t="shared" si="7"/>
        <v>120.8637236084453</v>
      </c>
      <c r="Q15" s="16">
        <f t="shared" si="8"/>
        <v>240.0383877159309</v>
      </c>
      <c r="R15" s="16">
        <f t="shared" si="9"/>
        <v>127.08253358925143</v>
      </c>
      <c r="S15" s="16">
        <f t="shared" si="10"/>
        <v>131.13243761996162</v>
      </c>
      <c r="U15" t="s">
        <v>264</v>
      </c>
      <c r="V15" s="16">
        <f t="shared" si="1"/>
        <v>14.81573896353167</v>
      </c>
      <c r="W15" s="16">
        <f t="shared" si="2"/>
        <v>20.216890595009598</v>
      </c>
      <c r="X15" s="16">
        <f t="shared" si="3"/>
        <v>29.13243761996161</v>
      </c>
      <c r="Y15" s="16">
        <f t="shared" si="4"/>
        <v>32.22264875239923</v>
      </c>
      <c r="AA15" s="16">
        <f t="shared" si="5"/>
        <v>17.408829174664106</v>
      </c>
      <c r="AB15" s="12"/>
      <c r="AC15" s="16">
        <f t="shared" si="6"/>
        <v>17.702495201535509</v>
      </c>
      <c r="AE15" s="16">
        <f>Q8</f>
        <v>138.02303262955851</v>
      </c>
      <c r="AF15" s="16">
        <f>W8</f>
        <v>17.581573896353166</v>
      </c>
      <c r="AG15" s="12">
        <f t="shared" si="11"/>
        <v>13802303.262955852</v>
      </c>
      <c r="AH15" s="12">
        <f t="shared" si="12"/>
        <v>1758157.3896353166</v>
      </c>
    </row>
    <row r="16" spans="1:34">
      <c r="A16" s="8" t="s">
        <v>278</v>
      </c>
      <c r="B16" s="8" t="s">
        <v>114</v>
      </c>
      <c r="C16" s="14">
        <v>100</v>
      </c>
      <c r="D16" s="14">
        <v>1</v>
      </c>
      <c r="E16" s="14">
        <v>500</v>
      </c>
      <c r="F16" s="14">
        <v>10</v>
      </c>
      <c r="G16" s="14">
        <v>510</v>
      </c>
      <c r="H16" s="14" t="s">
        <v>89</v>
      </c>
      <c r="I16" s="14">
        <v>52.1</v>
      </c>
      <c r="J16" s="3">
        <v>1440</v>
      </c>
      <c r="K16" s="15">
        <f t="shared" si="0"/>
        <v>27.639155470249516</v>
      </c>
      <c r="L16" s="3" t="s">
        <v>114</v>
      </c>
      <c r="N16" s="12"/>
      <c r="O16" t="s">
        <v>256</v>
      </c>
      <c r="P16" s="16">
        <f t="shared" si="7"/>
        <v>118.00383877159308</v>
      </c>
      <c r="Q16" s="16">
        <f t="shared" si="8"/>
        <v>234.62571976967371</v>
      </c>
      <c r="R16" s="16">
        <f t="shared" si="9"/>
        <v>127.73512476007677</v>
      </c>
      <c r="S16" s="16">
        <f t="shared" si="10"/>
        <v>135.41266794625719</v>
      </c>
      <c r="U16" t="s">
        <v>265</v>
      </c>
      <c r="V16" s="16">
        <f t="shared" si="1"/>
        <v>14.554702495201536</v>
      </c>
      <c r="W16" s="16">
        <f t="shared" si="2"/>
        <v>19.080614203454893</v>
      </c>
      <c r="X16" s="16">
        <f t="shared" si="3"/>
        <v>28.049904030710174</v>
      </c>
      <c r="Y16" s="16">
        <f t="shared" si="4"/>
        <v>32.257197696737045</v>
      </c>
      <c r="AA16" s="16"/>
      <c r="AB16" s="12"/>
      <c r="AC16" s="16"/>
      <c r="AE16" s="16">
        <f>Q9</f>
        <v>140.595009596929</v>
      </c>
      <c r="AF16" s="16">
        <f>W9</f>
        <v>23.742802303262959</v>
      </c>
      <c r="AG16" s="12">
        <f t="shared" si="11"/>
        <v>14059500.959692901</v>
      </c>
      <c r="AH16" s="12">
        <f t="shared" si="12"/>
        <v>2374280.2303262958</v>
      </c>
    </row>
    <row r="17" spans="1:34">
      <c r="A17" s="8" t="s">
        <v>279</v>
      </c>
      <c r="B17" s="8" t="s">
        <v>116</v>
      </c>
      <c r="C17" s="14">
        <v>10</v>
      </c>
      <c r="D17" s="14">
        <v>1</v>
      </c>
      <c r="E17" s="14">
        <v>500</v>
      </c>
      <c r="F17" s="14">
        <v>10</v>
      </c>
      <c r="G17" s="14">
        <v>510</v>
      </c>
      <c r="H17" s="14" t="s">
        <v>89</v>
      </c>
      <c r="I17" s="14">
        <v>52.1</v>
      </c>
      <c r="J17" s="3">
        <v>9209</v>
      </c>
      <c r="K17" s="15">
        <f t="shared" si="0"/>
        <v>17.675623800383878</v>
      </c>
      <c r="L17" s="3" t="s">
        <v>116</v>
      </c>
      <c r="AE17" s="16">
        <f>Q10</f>
        <v>144.18426103646831</v>
      </c>
      <c r="AF17" s="16">
        <f>W10</f>
        <v>27.639155470249516</v>
      </c>
      <c r="AG17" s="12">
        <f t="shared" si="11"/>
        <v>14418426.103646832</v>
      </c>
      <c r="AH17" s="12">
        <f t="shared" si="12"/>
        <v>2763915.5470249518</v>
      </c>
    </row>
    <row r="18" spans="1:34">
      <c r="A18" s="8" t="s">
        <v>280</v>
      </c>
      <c r="B18" s="8" t="s">
        <v>281</v>
      </c>
      <c r="C18" s="14">
        <v>10</v>
      </c>
      <c r="D18" s="14">
        <v>1</v>
      </c>
      <c r="E18" s="14">
        <v>500</v>
      </c>
      <c r="F18" s="14">
        <v>10</v>
      </c>
      <c r="G18" s="14">
        <v>510</v>
      </c>
      <c r="H18" s="14" t="s">
        <v>89</v>
      </c>
      <c r="I18" s="14">
        <v>52.1</v>
      </c>
      <c r="J18" s="3">
        <v>11611</v>
      </c>
      <c r="K18" s="15">
        <f t="shared" si="0"/>
        <v>22.28598848368522</v>
      </c>
      <c r="L18" s="3" t="s">
        <v>281</v>
      </c>
      <c r="P18">
        <f>P7</f>
        <v>0</v>
      </c>
      <c r="Q18" s="12">
        <f t="shared" ref="Q18:Y18" si="13">Q7</f>
        <v>6.5</v>
      </c>
      <c r="R18" s="12">
        <f t="shared" si="13"/>
        <v>19.5</v>
      </c>
      <c r="S18" s="12">
        <f t="shared" si="13"/>
        <v>25.5</v>
      </c>
      <c r="T18" s="12"/>
      <c r="U18" s="12"/>
      <c r="V18" s="12">
        <f t="shared" si="13"/>
        <v>0</v>
      </c>
      <c r="W18" s="12">
        <f t="shared" si="13"/>
        <v>6.5</v>
      </c>
      <c r="X18" s="12">
        <f t="shared" si="13"/>
        <v>19.5</v>
      </c>
      <c r="Y18" s="12">
        <f t="shared" si="13"/>
        <v>25.5</v>
      </c>
      <c r="AE18" s="16">
        <f>Q14</f>
        <v>152.53358925143951</v>
      </c>
      <c r="AF18" s="16">
        <f>W14</f>
        <v>19.965451055662189</v>
      </c>
      <c r="AG18" s="12">
        <f t="shared" si="11"/>
        <v>15253358.925143952</v>
      </c>
      <c r="AH18" s="12">
        <f t="shared" si="12"/>
        <v>1996545.105566219</v>
      </c>
    </row>
    <row r="19" spans="1:34">
      <c r="A19" s="8" t="s">
        <v>282</v>
      </c>
      <c r="B19" s="8" t="s">
        <v>283</v>
      </c>
      <c r="C19" s="14">
        <v>10</v>
      </c>
      <c r="D19" s="14">
        <v>1</v>
      </c>
      <c r="E19" s="14">
        <v>500</v>
      </c>
      <c r="F19" s="14">
        <v>10</v>
      </c>
      <c r="G19" s="14">
        <v>510</v>
      </c>
      <c r="H19" s="14" t="s">
        <v>89</v>
      </c>
      <c r="I19" s="14">
        <v>52.1</v>
      </c>
      <c r="J19" s="3">
        <v>7508</v>
      </c>
      <c r="K19" s="15">
        <f t="shared" si="0"/>
        <v>14.410748560460652</v>
      </c>
      <c r="L19" s="3" t="s">
        <v>283</v>
      </c>
      <c r="O19" t="s">
        <v>11</v>
      </c>
      <c r="P19" s="16">
        <f>AVERAGE(P8:P10)</f>
        <v>122.87268074216252</v>
      </c>
      <c r="Q19" s="16">
        <f t="shared" ref="Q19:Y19" si="14">AVERAGE(Q8:Q10)</f>
        <v>140.93410108765195</v>
      </c>
      <c r="R19" s="16">
        <f t="shared" si="14"/>
        <v>180.15355086372361</v>
      </c>
      <c r="S19" s="16">
        <f t="shared" si="14"/>
        <v>184.79206653870764</v>
      </c>
      <c r="T19" s="16"/>
      <c r="U19" s="16" t="s">
        <v>11</v>
      </c>
      <c r="V19" s="16">
        <f t="shared" si="14"/>
        <v>14.362124120281509</v>
      </c>
      <c r="W19" s="16">
        <f t="shared" si="14"/>
        <v>22.987843889955215</v>
      </c>
      <c r="X19" s="16">
        <f t="shared" si="14"/>
        <v>50.136916186820208</v>
      </c>
      <c r="Y19" s="16">
        <f t="shared" si="14"/>
        <v>60.081253998720406</v>
      </c>
      <c r="AA19" s="84">
        <f>TTEST(P8:P10,S8:S10,2,2)</f>
        <v>1.2968619709953558E-6</v>
      </c>
      <c r="AB19">
        <f>TTEST(P14:P16,S14:S16,2,2)</f>
        <v>8.2507964025142885E-4</v>
      </c>
      <c r="AE19" s="16">
        <f>Q15</f>
        <v>240.0383877159309</v>
      </c>
      <c r="AF19" s="16">
        <f>W15</f>
        <v>20.216890595009598</v>
      </c>
      <c r="AG19" s="12">
        <f t="shared" si="11"/>
        <v>24003838.77159309</v>
      </c>
      <c r="AH19" s="12">
        <f t="shared" si="12"/>
        <v>2021689.0595009599</v>
      </c>
    </row>
    <row r="20" spans="1:34">
      <c r="A20" s="8" t="s">
        <v>284</v>
      </c>
      <c r="B20" s="8" t="s">
        <v>122</v>
      </c>
      <c r="C20" s="14">
        <v>10</v>
      </c>
      <c r="D20" s="14">
        <v>1</v>
      </c>
      <c r="E20" s="14">
        <v>500</v>
      </c>
      <c r="F20" s="14">
        <v>10</v>
      </c>
      <c r="G20" s="14">
        <v>510</v>
      </c>
      <c r="H20" s="14" t="s">
        <v>89</v>
      </c>
      <c r="I20" s="14">
        <v>52.1</v>
      </c>
      <c r="J20" s="3">
        <v>10402</v>
      </c>
      <c r="K20" s="15">
        <f t="shared" si="0"/>
        <v>19.965451055662189</v>
      </c>
      <c r="L20" s="3" t="s">
        <v>122</v>
      </c>
      <c r="O20" t="s">
        <v>14</v>
      </c>
      <c r="P20" s="16">
        <f>AVERAGE(P11:P13)</f>
        <v>128.29814459373003</v>
      </c>
      <c r="Q20" s="16">
        <f t="shared" ref="Q20:Y20" si="15">AVERAGE(Q11:Q13)</f>
        <v>194.10748560460652</v>
      </c>
      <c r="R20" s="16">
        <f t="shared" si="15"/>
        <v>143.0134357005758</v>
      </c>
      <c r="S20" s="16">
        <f t="shared" si="15"/>
        <v>147.23608445297506</v>
      </c>
      <c r="T20" s="16"/>
      <c r="U20" s="16" t="s">
        <v>14</v>
      </c>
      <c r="V20" s="16">
        <f t="shared" si="15"/>
        <v>14.423544465770954</v>
      </c>
      <c r="W20" s="16">
        <f t="shared" si="15"/>
        <v>18.124120281509917</v>
      </c>
      <c r="X20" s="16">
        <f t="shared" si="15"/>
        <v>32.549584133077417</v>
      </c>
      <c r="Y20" s="16">
        <f t="shared" si="15"/>
        <v>39.920025591810628</v>
      </c>
      <c r="AA20" s="84">
        <f>TTEST(V8:V10,Y8:Y10,2,2)</f>
        <v>1.0454874584269957E-3</v>
      </c>
      <c r="AB20">
        <f>TTEST(V14:V16,Y14:Y16,2,2)</f>
        <v>2.6436262562975694E-6</v>
      </c>
      <c r="AE20" s="16">
        <f>Q16</f>
        <v>234.62571976967371</v>
      </c>
      <c r="AF20" s="16">
        <f>W16</f>
        <v>19.080614203454893</v>
      </c>
      <c r="AG20" s="12">
        <f t="shared" si="11"/>
        <v>23462571.976967372</v>
      </c>
      <c r="AH20" s="12">
        <f t="shared" si="12"/>
        <v>1908061.4203454892</v>
      </c>
    </row>
    <row r="21" spans="1:34">
      <c r="A21" s="8" t="s">
        <v>285</v>
      </c>
      <c r="B21" s="8" t="s">
        <v>124</v>
      </c>
      <c r="C21" s="14">
        <v>10</v>
      </c>
      <c r="D21" s="14">
        <v>1</v>
      </c>
      <c r="E21" s="14">
        <v>500</v>
      </c>
      <c r="F21" s="14">
        <v>10</v>
      </c>
      <c r="G21" s="14">
        <v>510</v>
      </c>
      <c r="H21" s="14" t="s">
        <v>89</v>
      </c>
      <c r="I21" s="14">
        <v>52.1</v>
      </c>
      <c r="J21" s="3">
        <v>10533</v>
      </c>
      <c r="K21" s="15">
        <f t="shared" si="0"/>
        <v>20.216890595009598</v>
      </c>
      <c r="L21" s="3" t="s">
        <v>124</v>
      </c>
      <c r="O21" t="s">
        <v>15</v>
      </c>
      <c r="P21" s="16">
        <f>AVERAGE(P14:P16)</f>
        <v>119.11068458093409</v>
      </c>
      <c r="Q21" s="16">
        <f t="shared" ref="Q21:Y21" si="16">AVERAGE(Q14:Q16)</f>
        <v>209.06589891234805</v>
      </c>
      <c r="R21" s="16">
        <f t="shared" si="16"/>
        <v>131.84261036468328</v>
      </c>
      <c r="S21" s="16">
        <f t="shared" si="16"/>
        <v>133.03902751119642</v>
      </c>
      <c r="T21" s="16"/>
      <c r="U21" s="16" t="s">
        <v>15</v>
      </c>
      <c r="V21" s="16">
        <f t="shared" si="16"/>
        <v>14.415866922584774</v>
      </c>
      <c r="W21" s="16">
        <f t="shared" si="16"/>
        <v>19.754318618042227</v>
      </c>
      <c r="X21" s="16">
        <f t="shared" si="16"/>
        <v>28.570057581573895</v>
      </c>
      <c r="Y21" s="16">
        <f t="shared" si="16"/>
        <v>31.886756238003841</v>
      </c>
      <c r="AA21" t="s">
        <v>626</v>
      </c>
      <c r="AC21" s="12" t="s">
        <v>626</v>
      </c>
      <c r="AE21" s="16">
        <f>R8</f>
        <v>180.0383877159309</v>
      </c>
      <c r="AF21" s="16">
        <f>X8</f>
        <v>38.065259117082533</v>
      </c>
      <c r="AG21" s="12">
        <f t="shared" si="11"/>
        <v>18003838.77159309</v>
      </c>
      <c r="AH21" s="12">
        <f t="shared" si="12"/>
        <v>3806525.9117082534</v>
      </c>
    </row>
    <row r="22" spans="1:34">
      <c r="A22" s="8" t="s">
        <v>286</v>
      </c>
      <c r="B22" s="8" t="s">
        <v>126</v>
      </c>
      <c r="C22" s="14">
        <v>10</v>
      </c>
      <c r="D22" s="14">
        <v>1</v>
      </c>
      <c r="E22" s="14">
        <v>500</v>
      </c>
      <c r="F22" s="14">
        <v>10</v>
      </c>
      <c r="G22" s="14">
        <v>510</v>
      </c>
      <c r="H22" s="14" t="s">
        <v>89</v>
      </c>
      <c r="I22" s="14">
        <v>52.1</v>
      </c>
      <c r="J22" s="3">
        <v>9941</v>
      </c>
      <c r="K22" s="15">
        <f t="shared" si="0"/>
        <v>19.080614203454893</v>
      </c>
      <c r="L22" s="3" t="s">
        <v>126</v>
      </c>
      <c r="Q22" s="12"/>
      <c r="R22" s="12"/>
      <c r="S22" s="12"/>
      <c r="T22" s="12"/>
      <c r="U22" s="12"/>
      <c r="V22" s="12"/>
      <c r="W22" s="12"/>
      <c r="X22" s="12"/>
      <c r="Y22" s="12"/>
      <c r="Z22" t="s">
        <v>248</v>
      </c>
      <c r="AA22" s="16">
        <f>S8-P8</f>
        <v>64.395393474088266</v>
      </c>
      <c r="AB22" t="s">
        <v>257</v>
      </c>
      <c r="AC22" s="16">
        <f>Y8-V8</f>
        <v>35.458733205374273</v>
      </c>
      <c r="AE22" s="16">
        <f>R9</f>
        <v>178.57965451055665</v>
      </c>
      <c r="AF22" s="16">
        <f>X9</f>
        <v>57.381957773512468</v>
      </c>
      <c r="AG22" s="12">
        <f t="shared" si="11"/>
        <v>17857965.451055665</v>
      </c>
      <c r="AH22" s="12">
        <f t="shared" si="12"/>
        <v>5738195.7773512471</v>
      </c>
    </row>
    <row r="23" spans="1:34">
      <c r="A23" s="8" t="s">
        <v>287</v>
      </c>
      <c r="B23" s="8" t="s">
        <v>164</v>
      </c>
      <c r="C23" s="14">
        <v>100</v>
      </c>
      <c r="D23" s="14">
        <v>1</v>
      </c>
      <c r="E23" s="14">
        <v>500</v>
      </c>
      <c r="F23" s="14">
        <v>10</v>
      </c>
      <c r="G23" s="14">
        <v>510</v>
      </c>
      <c r="H23" s="14" t="s">
        <v>89</v>
      </c>
      <c r="I23" s="14">
        <v>52.1</v>
      </c>
      <c r="J23" s="3">
        <v>9380</v>
      </c>
      <c r="K23" s="15">
        <f t="shared" si="0"/>
        <v>180.0383877159309</v>
      </c>
      <c r="L23" s="3" t="s">
        <v>164</v>
      </c>
      <c r="P23">
        <f>STDEV(P8:P10)/(SQRT(3))</f>
        <v>0.68601448792808994</v>
      </c>
      <c r="Q23" s="12">
        <f>STDEV(Q8:Q10)/(SQRT(3))</f>
        <v>1.7866562017577787</v>
      </c>
      <c r="R23" s="12">
        <f>STDEV(R8:R10)/(SQRT(3))</f>
        <v>0.94369259462531996</v>
      </c>
      <c r="S23" s="12">
        <f>STDEV(S8:S10)/(SQRT(3))</f>
        <v>1.1465730950401856</v>
      </c>
      <c r="T23" s="12"/>
      <c r="U23" s="12"/>
      <c r="V23" s="12">
        <f>STDEV(V8:V10)/(SQRT(3))</f>
        <v>8.1359722856526401E-2</v>
      </c>
      <c r="W23" s="12">
        <f>STDEV(W8:W10)/(SQRT(3))</f>
        <v>2.9278096723923657</v>
      </c>
      <c r="X23" s="12">
        <f>STDEV(X8:X10)/(SQRT(3))</f>
        <v>6.0760698512473565</v>
      </c>
      <c r="Y23" s="12">
        <f>STDEV(Y8:Y10)/(SQRT(3))</f>
        <v>5.3712789048017324</v>
      </c>
      <c r="Z23" t="s">
        <v>249</v>
      </c>
      <c r="AA23" s="16">
        <f t="shared" ref="AA23:AA24" si="17">S9-P9</f>
        <v>60.595009596928989</v>
      </c>
      <c r="AB23" t="s">
        <v>258</v>
      </c>
      <c r="AC23" s="16">
        <f t="shared" ref="AC23:AC24" si="18">Y9-V9</f>
        <v>53.437619961612285</v>
      </c>
      <c r="AE23" s="16">
        <f>R10</f>
        <v>181.84261036468331</v>
      </c>
      <c r="AF23" s="16">
        <f>X10</f>
        <v>54.963531669865638</v>
      </c>
      <c r="AG23" s="12">
        <f t="shared" si="11"/>
        <v>18184261.036468331</v>
      </c>
      <c r="AH23" s="12">
        <f t="shared" si="12"/>
        <v>5496353.1669865642</v>
      </c>
    </row>
    <row r="24" spans="1:34">
      <c r="A24" s="8" t="s">
        <v>288</v>
      </c>
      <c r="B24" s="8" t="s">
        <v>166</v>
      </c>
      <c r="C24" s="14">
        <v>100</v>
      </c>
      <c r="D24" s="14">
        <v>1</v>
      </c>
      <c r="E24" s="14">
        <v>500</v>
      </c>
      <c r="F24" s="14">
        <v>10</v>
      </c>
      <c r="G24" s="14">
        <v>510</v>
      </c>
      <c r="H24" s="14" t="s">
        <v>89</v>
      </c>
      <c r="I24" s="14">
        <v>52.1</v>
      </c>
      <c r="J24" s="3">
        <v>9304</v>
      </c>
      <c r="K24" s="15">
        <f t="shared" si="0"/>
        <v>178.57965451055665</v>
      </c>
      <c r="L24" s="3" t="s">
        <v>166</v>
      </c>
      <c r="P24">
        <f>STDEV(P11:P13)/(SQRT(3))</f>
        <v>3.0414914078362378</v>
      </c>
      <c r="Q24" s="12">
        <f>STDEV(Q11:Q13)/(SQRT(3))</f>
        <v>14.546884692751721</v>
      </c>
      <c r="R24" s="12">
        <f>STDEV(R11:R13)/(SQRT(3))</f>
        <v>7.5313414824228362</v>
      </c>
      <c r="S24" s="12">
        <f>STDEV(S11:S13)/(SQRT(3))</f>
        <v>4.9868213929726473</v>
      </c>
      <c r="T24" s="12"/>
      <c r="U24" s="12"/>
      <c r="V24" s="12">
        <f>STDEV(V11:V13)/(SQRT(3))</f>
        <v>8.2163264269629527E-2</v>
      </c>
      <c r="W24" s="12">
        <f>STDEV(W11:W13)/(SQRT(3))</f>
        <v>2.2844191663144406</v>
      </c>
      <c r="X24" s="12">
        <f>STDEV(X11:X13)/(SQRT(3))</f>
        <v>1.0788498221597349</v>
      </c>
      <c r="Y24" s="12">
        <f>STDEV(Y11:Y13)/(SQRT(3))</f>
        <v>3.9674436958442696</v>
      </c>
      <c r="Z24" t="s">
        <v>250</v>
      </c>
      <c r="AA24" s="16">
        <f t="shared" si="17"/>
        <v>60.76775431861806</v>
      </c>
      <c r="AB24" t="s">
        <v>259</v>
      </c>
      <c r="AC24" s="16">
        <f t="shared" si="18"/>
        <v>48.261036468330133</v>
      </c>
      <c r="AE24" s="16">
        <f>R14</f>
        <v>140.71017274472169</v>
      </c>
      <c r="AF24" s="16">
        <f>X14</f>
        <v>28.527831094049901</v>
      </c>
      <c r="AG24" s="12">
        <f t="shared" si="11"/>
        <v>14071017.27447217</v>
      </c>
      <c r="AH24" s="12">
        <f t="shared" si="12"/>
        <v>2852783.10940499</v>
      </c>
    </row>
    <row r="25" spans="1:34">
      <c r="A25" s="8" t="s">
        <v>289</v>
      </c>
      <c r="B25" s="8" t="s">
        <v>168</v>
      </c>
      <c r="C25" s="14">
        <v>100</v>
      </c>
      <c r="D25" s="14">
        <v>1</v>
      </c>
      <c r="E25" s="14">
        <v>500</v>
      </c>
      <c r="F25" s="14">
        <v>10</v>
      </c>
      <c r="G25" s="14">
        <v>510</v>
      </c>
      <c r="H25" s="14" t="s">
        <v>89</v>
      </c>
      <c r="I25" s="14">
        <v>52.1</v>
      </c>
      <c r="J25" s="3">
        <v>9474</v>
      </c>
      <c r="K25" s="15">
        <f t="shared" si="0"/>
        <v>181.84261036468331</v>
      </c>
      <c r="L25" s="3" t="s">
        <v>168</v>
      </c>
      <c r="P25">
        <f>STDEV(P14:P16)/(SQRT(3))</f>
        <v>0.88654941137369903</v>
      </c>
      <c r="Q25" s="12">
        <f>STDEV(Q14:Q16)/(SQRT(3))</f>
        <v>28.309308070384176</v>
      </c>
      <c r="R25" s="12">
        <f>STDEV(R14:R16)/(SQRT(3))</f>
        <v>4.4377815678543691</v>
      </c>
      <c r="S25" s="12">
        <f>STDEV(S14:S16)/(SQRT(3))</f>
        <v>1.2574703534479015</v>
      </c>
      <c r="T25" s="12"/>
      <c r="U25" s="12"/>
      <c r="V25" s="12">
        <f>STDEV(V14:V16)/(SQRT(3))</f>
        <v>0.27969592365826929</v>
      </c>
      <c r="W25" s="12">
        <f>STDEV(W14:W16)/(SQRT(3))</f>
        <v>0.34458365658799328</v>
      </c>
      <c r="X25" s="12">
        <f>STDEV(X14:X16)/(SQRT(3))</f>
        <v>0.31321294681140927</v>
      </c>
      <c r="Y25" s="12">
        <f>STDEV(Y14:Y16)/(SQRT(3))</f>
        <v>0.35330778300014754</v>
      </c>
      <c r="Z25" t="s">
        <v>254</v>
      </c>
      <c r="AA25" s="16">
        <f>S14-P14</f>
        <v>14.107485604606509</v>
      </c>
      <c r="AB25" t="s">
        <v>263</v>
      </c>
      <c r="AC25" s="16">
        <f>Y14-V14</f>
        <v>17.303262955854127</v>
      </c>
      <c r="AE25" s="16">
        <f>R15</f>
        <v>127.08253358925143</v>
      </c>
      <c r="AF25" s="16">
        <f>X15</f>
        <v>29.13243761996161</v>
      </c>
      <c r="AG25" s="12">
        <f t="shared" si="11"/>
        <v>12708253.358925143</v>
      </c>
      <c r="AH25" s="12">
        <f t="shared" si="12"/>
        <v>2913243.7619961612</v>
      </c>
    </row>
    <row r="26" spans="1:34">
      <c r="A26" s="8" t="s">
        <v>290</v>
      </c>
      <c r="B26" s="8" t="s">
        <v>170</v>
      </c>
      <c r="C26" s="14">
        <v>100</v>
      </c>
      <c r="D26" s="14">
        <v>1</v>
      </c>
      <c r="E26" s="14">
        <v>500</v>
      </c>
      <c r="F26" s="14">
        <v>10</v>
      </c>
      <c r="G26" s="14">
        <v>510</v>
      </c>
      <c r="H26" s="14" t="s">
        <v>89</v>
      </c>
      <c r="I26" s="14">
        <v>52.1</v>
      </c>
      <c r="J26" s="3">
        <v>7908</v>
      </c>
      <c r="K26" s="15">
        <f t="shared" si="0"/>
        <v>151.78502879078695</v>
      </c>
      <c r="L26" s="3" t="s">
        <v>170</v>
      </c>
      <c r="Z26" t="s">
        <v>255</v>
      </c>
      <c r="AA26" s="16">
        <f t="shared" ref="AA26:AA27" si="19">S15-P15</f>
        <v>10.268714011516323</v>
      </c>
      <c r="AB26" t="s">
        <v>264</v>
      </c>
      <c r="AC26" s="16">
        <f t="shared" ref="AC26:AC27" si="20">Y15-V15</f>
        <v>17.406909788867559</v>
      </c>
      <c r="AE26" s="16">
        <f>R16</f>
        <v>127.73512476007677</v>
      </c>
      <c r="AF26" s="16">
        <f>X16</f>
        <v>28.049904030710174</v>
      </c>
      <c r="AG26" s="12">
        <f t="shared" si="11"/>
        <v>12773512.476007678</v>
      </c>
      <c r="AH26" s="12">
        <f t="shared" si="12"/>
        <v>2804990.4030710175</v>
      </c>
    </row>
    <row r="27" spans="1:34">
      <c r="A27" s="8" t="s">
        <v>291</v>
      </c>
      <c r="B27" s="8" t="s">
        <v>172</v>
      </c>
      <c r="C27" s="14">
        <v>100</v>
      </c>
      <c r="D27" s="14">
        <v>1</v>
      </c>
      <c r="E27" s="14">
        <v>500</v>
      </c>
      <c r="F27" s="14">
        <v>10</v>
      </c>
      <c r="G27" s="14">
        <v>510</v>
      </c>
      <c r="H27" s="14" t="s">
        <v>89</v>
      </c>
      <c r="I27" s="14">
        <v>52.1</v>
      </c>
      <c r="J27" s="3">
        <v>7775</v>
      </c>
      <c r="K27" s="15">
        <f t="shared" si="0"/>
        <v>149.23224568138195</v>
      </c>
      <c r="L27" s="3" t="s">
        <v>172</v>
      </c>
      <c r="Z27" t="s">
        <v>256</v>
      </c>
      <c r="AA27" s="16">
        <f t="shared" si="19"/>
        <v>17.408829174664106</v>
      </c>
      <c r="AB27" t="s">
        <v>265</v>
      </c>
      <c r="AC27" s="16">
        <f t="shared" si="20"/>
        <v>17.702495201535509</v>
      </c>
      <c r="AE27" s="16">
        <f>S8</f>
        <v>186.66026871401149</v>
      </c>
      <c r="AF27" s="16">
        <f>Y8</f>
        <v>49.725527831094048</v>
      </c>
      <c r="AG27" s="12">
        <f t="shared" si="11"/>
        <v>18666026.87140115</v>
      </c>
      <c r="AH27" s="12">
        <f t="shared" si="12"/>
        <v>4972552.7831094051</v>
      </c>
    </row>
    <row r="28" spans="1:34">
      <c r="A28" s="8" t="s">
        <v>292</v>
      </c>
      <c r="B28" s="8" t="s">
        <v>174</v>
      </c>
      <c r="C28" s="14">
        <v>100</v>
      </c>
      <c r="D28" s="14">
        <v>1</v>
      </c>
      <c r="E28" s="14">
        <v>500</v>
      </c>
      <c r="F28" s="14">
        <v>10</v>
      </c>
      <c r="G28" s="14">
        <v>510</v>
      </c>
      <c r="H28" s="14" t="s">
        <v>89</v>
      </c>
      <c r="I28" s="14">
        <v>52.1</v>
      </c>
      <c r="J28" s="3">
        <v>6670</v>
      </c>
      <c r="K28" s="15">
        <f t="shared" si="0"/>
        <v>128.02303262955854</v>
      </c>
      <c r="L28" s="3" t="s">
        <v>174</v>
      </c>
      <c r="Z28" t="s">
        <v>627</v>
      </c>
      <c r="AA28">
        <f>TTEST(AA22:AA24,AA25:AA27,2,3)</f>
        <v>1.5576055226947986E-4</v>
      </c>
      <c r="AB28" t="s">
        <v>627</v>
      </c>
      <c r="AC28">
        <f>TTEST(AC22:AC24,AC25:AC27,2,3)</f>
        <v>3.3912070061685472E-2</v>
      </c>
      <c r="AE28" s="16">
        <f>S9</f>
        <v>182.70633397312861</v>
      </c>
      <c r="AF28" s="16">
        <f>Y9</f>
        <v>67.733205374280232</v>
      </c>
      <c r="AG28" s="12">
        <f t="shared" si="11"/>
        <v>18270633.397312861</v>
      </c>
      <c r="AH28" s="12">
        <f t="shared" si="12"/>
        <v>6773320.5374280233</v>
      </c>
    </row>
    <row r="29" spans="1:34">
      <c r="A29" s="8" t="s">
        <v>293</v>
      </c>
      <c r="B29" s="8" t="s">
        <v>176</v>
      </c>
      <c r="C29" s="14">
        <v>100</v>
      </c>
      <c r="D29" s="14">
        <v>1</v>
      </c>
      <c r="E29" s="14">
        <v>500</v>
      </c>
      <c r="F29" s="14">
        <v>10</v>
      </c>
      <c r="G29" s="14">
        <v>510</v>
      </c>
      <c r="H29" s="14" t="s">
        <v>89</v>
      </c>
      <c r="I29" s="14">
        <v>52.1</v>
      </c>
      <c r="J29" s="3">
        <v>7331</v>
      </c>
      <c r="K29" s="15">
        <f t="shared" si="0"/>
        <v>140.71017274472169</v>
      </c>
      <c r="L29" s="3" t="s">
        <v>176</v>
      </c>
      <c r="AE29" s="16">
        <f>S10</f>
        <v>185.00959692898275</v>
      </c>
      <c r="AF29" s="16">
        <f>Y10</f>
        <v>62.785028790786946</v>
      </c>
      <c r="AG29" s="12">
        <f t="shared" si="11"/>
        <v>18500959.692898273</v>
      </c>
      <c r="AH29" s="12">
        <f t="shared" si="12"/>
        <v>6278502.8790786946</v>
      </c>
    </row>
    <row r="30" spans="1:34">
      <c r="A30" s="8" t="s">
        <v>294</v>
      </c>
      <c r="B30" s="8" t="s">
        <v>178</v>
      </c>
      <c r="C30" s="14">
        <v>100</v>
      </c>
      <c r="D30" s="14">
        <v>1</v>
      </c>
      <c r="E30" s="14">
        <v>500</v>
      </c>
      <c r="F30" s="14">
        <v>10</v>
      </c>
      <c r="G30" s="14">
        <v>510</v>
      </c>
      <c r="H30" s="14" t="s">
        <v>89</v>
      </c>
      <c r="I30" s="14">
        <v>52.1</v>
      </c>
      <c r="J30" s="3">
        <v>6621</v>
      </c>
      <c r="K30" s="15">
        <f t="shared" si="0"/>
        <v>127.08253358925143</v>
      </c>
      <c r="L30" s="3" t="s">
        <v>178</v>
      </c>
      <c r="AE30" s="16">
        <f>S14</f>
        <v>132.57197696737043</v>
      </c>
      <c r="AF30" s="16">
        <f>Y14</f>
        <v>31.18042226487524</v>
      </c>
      <c r="AG30" s="12">
        <f t="shared" si="11"/>
        <v>13257197.696737044</v>
      </c>
      <c r="AH30" s="12">
        <f t="shared" si="12"/>
        <v>3118042.2264875239</v>
      </c>
    </row>
    <row r="31" spans="1:34">
      <c r="A31" s="8" t="s">
        <v>295</v>
      </c>
      <c r="B31" s="8" t="s">
        <v>180</v>
      </c>
      <c r="C31" s="14">
        <v>100</v>
      </c>
      <c r="D31" s="14">
        <v>1</v>
      </c>
      <c r="E31" s="14">
        <v>500</v>
      </c>
      <c r="F31" s="14">
        <v>10</v>
      </c>
      <c r="G31" s="14">
        <v>510</v>
      </c>
      <c r="H31" s="14" t="s">
        <v>89</v>
      </c>
      <c r="I31" s="14">
        <v>52.1</v>
      </c>
      <c r="J31" s="3">
        <v>6655</v>
      </c>
      <c r="K31" s="15">
        <f t="shared" si="0"/>
        <v>127.73512476007677</v>
      </c>
      <c r="L31" s="3" t="s">
        <v>180</v>
      </c>
      <c r="AE31" s="16">
        <f>S15</f>
        <v>131.13243761996162</v>
      </c>
      <c r="AF31" s="16">
        <f>Y15</f>
        <v>32.22264875239923</v>
      </c>
      <c r="AG31" s="12">
        <f t="shared" si="11"/>
        <v>13113243.761996161</v>
      </c>
      <c r="AH31" s="12">
        <f t="shared" si="12"/>
        <v>3222264.8752399231</v>
      </c>
    </row>
    <row r="32" spans="1:34">
      <c r="A32" s="8" t="s">
        <v>296</v>
      </c>
      <c r="B32" s="8" t="s">
        <v>182</v>
      </c>
      <c r="C32" s="14">
        <v>10</v>
      </c>
      <c r="D32" s="14">
        <v>1</v>
      </c>
      <c r="E32" s="14">
        <v>500</v>
      </c>
      <c r="F32" s="14">
        <v>10</v>
      </c>
      <c r="G32" s="14">
        <v>510</v>
      </c>
      <c r="H32" s="14" t="s">
        <v>89</v>
      </c>
      <c r="I32" s="14">
        <v>52.1</v>
      </c>
      <c r="J32" s="3">
        <v>19832</v>
      </c>
      <c r="K32" s="15">
        <f t="shared" si="0"/>
        <v>38.065259117082533</v>
      </c>
      <c r="L32" s="3" t="s">
        <v>182</v>
      </c>
      <c r="AE32" s="16">
        <f>S16</f>
        <v>135.41266794625719</v>
      </c>
      <c r="AF32" s="16">
        <f>Y16</f>
        <v>32.257197696737045</v>
      </c>
      <c r="AG32" s="12">
        <f t="shared" si="11"/>
        <v>13541266.794625718</v>
      </c>
      <c r="AH32" s="12">
        <f t="shared" si="12"/>
        <v>3225719.7696737046</v>
      </c>
    </row>
    <row r="33" spans="1:16">
      <c r="A33" s="8" t="s">
        <v>297</v>
      </c>
      <c r="B33" s="8" t="s">
        <v>184</v>
      </c>
      <c r="C33" s="14">
        <v>10</v>
      </c>
      <c r="D33" s="14">
        <v>1</v>
      </c>
      <c r="E33" s="14">
        <v>500</v>
      </c>
      <c r="F33" s="14">
        <v>10</v>
      </c>
      <c r="G33" s="14">
        <v>510</v>
      </c>
      <c r="H33" s="14" t="s">
        <v>89</v>
      </c>
      <c r="I33" s="14">
        <v>52.1</v>
      </c>
      <c r="J33" s="3">
        <v>29896</v>
      </c>
      <c r="K33" s="15">
        <f t="shared" si="0"/>
        <v>57.381957773512468</v>
      </c>
      <c r="L33" s="3" t="s">
        <v>184</v>
      </c>
    </row>
    <row r="34" spans="1:16">
      <c r="A34" s="8" t="s">
        <v>298</v>
      </c>
      <c r="B34" s="8" t="s">
        <v>186</v>
      </c>
      <c r="C34" s="14">
        <v>10</v>
      </c>
      <c r="D34" s="14">
        <v>1</v>
      </c>
      <c r="E34" s="14">
        <v>500</v>
      </c>
      <c r="F34" s="14">
        <v>10</v>
      </c>
      <c r="G34" s="14">
        <v>510</v>
      </c>
      <c r="H34" s="14" t="s">
        <v>89</v>
      </c>
      <c r="I34" s="14">
        <v>52.1</v>
      </c>
      <c r="J34" s="3">
        <v>28636</v>
      </c>
      <c r="K34" s="15">
        <f t="shared" si="0"/>
        <v>54.963531669865638</v>
      </c>
      <c r="L34" s="3" t="s">
        <v>186</v>
      </c>
    </row>
    <row r="35" spans="1:16">
      <c r="A35" s="8" t="s">
        <v>299</v>
      </c>
      <c r="B35" s="8" t="s">
        <v>188</v>
      </c>
      <c r="C35" s="14">
        <v>10</v>
      </c>
      <c r="D35" s="14">
        <v>1</v>
      </c>
      <c r="E35" s="14">
        <v>500</v>
      </c>
      <c r="F35" s="14">
        <v>10</v>
      </c>
      <c r="G35" s="14">
        <v>510</v>
      </c>
      <c r="H35" s="14" t="s">
        <v>89</v>
      </c>
      <c r="I35" s="14">
        <v>52.1</v>
      </c>
      <c r="J35" s="3">
        <v>17131</v>
      </c>
      <c r="K35" s="15">
        <f t="shared" si="0"/>
        <v>32.880998080614205</v>
      </c>
      <c r="L35" s="3" t="s">
        <v>188</v>
      </c>
    </row>
    <row r="36" spans="1:16">
      <c r="A36" s="8" t="s">
        <v>300</v>
      </c>
      <c r="B36" s="8" t="s">
        <v>190</v>
      </c>
      <c r="C36" s="14">
        <v>10</v>
      </c>
      <c r="D36" s="14">
        <v>1</v>
      </c>
      <c r="E36" s="14">
        <v>500</v>
      </c>
      <c r="F36" s="14">
        <v>10</v>
      </c>
      <c r="G36" s="14">
        <v>510</v>
      </c>
      <c r="H36" s="14" t="s">
        <v>89</v>
      </c>
      <c r="I36" s="14">
        <v>52.1</v>
      </c>
      <c r="J36" s="3">
        <v>15910</v>
      </c>
      <c r="K36" s="15">
        <f t="shared" si="0"/>
        <v>30.537428023032628</v>
      </c>
      <c r="L36" s="3" t="s">
        <v>190</v>
      </c>
    </row>
    <row r="37" spans="1:16">
      <c r="A37" s="8" t="s">
        <v>301</v>
      </c>
      <c r="B37" s="8" t="s">
        <v>192</v>
      </c>
      <c r="C37" s="14">
        <v>10</v>
      </c>
      <c r="D37" s="14">
        <v>1</v>
      </c>
      <c r="E37" s="14">
        <v>500</v>
      </c>
      <c r="F37" s="14">
        <v>10</v>
      </c>
      <c r="G37" s="14">
        <v>510</v>
      </c>
      <c r="H37" s="14" t="s">
        <v>89</v>
      </c>
      <c r="I37" s="14">
        <v>52.1</v>
      </c>
      <c r="J37" s="3">
        <v>17834</v>
      </c>
      <c r="K37" s="15">
        <f t="shared" si="0"/>
        <v>34.230326295585414</v>
      </c>
      <c r="L37" s="3" t="s">
        <v>192</v>
      </c>
    </row>
    <row r="38" spans="1:16">
      <c r="A38" s="8" t="s">
        <v>302</v>
      </c>
      <c r="B38" s="8" t="s">
        <v>194</v>
      </c>
      <c r="C38" s="14">
        <v>10</v>
      </c>
      <c r="D38" s="14">
        <v>1</v>
      </c>
      <c r="E38" s="14">
        <v>500</v>
      </c>
      <c r="F38" s="14">
        <v>10</v>
      </c>
      <c r="G38" s="14">
        <v>510</v>
      </c>
      <c r="H38" s="14" t="s">
        <v>89</v>
      </c>
      <c r="I38" s="14">
        <v>52.1</v>
      </c>
      <c r="J38" s="3">
        <v>14863</v>
      </c>
      <c r="K38" s="15">
        <f t="shared" si="0"/>
        <v>28.527831094049901</v>
      </c>
      <c r="L38" s="3" t="s">
        <v>194</v>
      </c>
    </row>
    <row r="39" spans="1:16">
      <c r="A39" s="8" t="s">
        <v>303</v>
      </c>
      <c r="B39" s="8" t="s">
        <v>196</v>
      </c>
      <c r="C39" s="14">
        <v>10</v>
      </c>
      <c r="D39" s="14">
        <v>1</v>
      </c>
      <c r="E39" s="14">
        <v>500</v>
      </c>
      <c r="F39" s="14">
        <v>10</v>
      </c>
      <c r="G39" s="14">
        <v>510</v>
      </c>
      <c r="H39" s="14" t="s">
        <v>89</v>
      </c>
      <c r="I39" s="14">
        <v>52.1</v>
      </c>
      <c r="J39" s="3">
        <v>15178</v>
      </c>
      <c r="K39" s="15">
        <f t="shared" si="0"/>
        <v>29.13243761996161</v>
      </c>
      <c r="L39" s="3" t="s">
        <v>196</v>
      </c>
    </row>
    <row r="40" spans="1:16">
      <c r="A40" s="8" t="s">
        <v>304</v>
      </c>
      <c r="B40" s="8" t="s">
        <v>198</v>
      </c>
      <c r="C40" s="14">
        <v>10</v>
      </c>
      <c r="D40" s="14">
        <v>1</v>
      </c>
      <c r="E40" s="14">
        <v>500</v>
      </c>
      <c r="F40" s="14">
        <v>10</v>
      </c>
      <c r="G40" s="14">
        <v>510</v>
      </c>
      <c r="H40" s="14" t="s">
        <v>89</v>
      </c>
      <c r="I40" s="14">
        <v>52.1</v>
      </c>
      <c r="J40" s="3">
        <v>14614</v>
      </c>
      <c r="K40" s="15">
        <f t="shared" si="0"/>
        <v>28.049904030710174</v>
      </c>
      <c r="L40" s="3" t="s">
        <v>198</v>
      </c>
    </row>
    <row r="41" spans="1:16">
      <c r="A41" s="8" t="s">
        <v>305</v>
      </c>
      <c r="B41" s="8" t="s">
        <v>128</v>
      </c>
      <c r="C41" s="14">
        <v>100</v>
      </c>
      <c r="D41" s="14">
        <v>1</v>
      </c>
      <c r="E41" s="14">
        <v>500</v>
      </c>
      <c r="F41" s="14">
        <v>10</v>
      </c>
      <c r="G41" s="14">
        <v>510</v>
      </c>
      <c r="H41" s="14" t="s">
        <v>89</v>
      </c>
      <c r="I41" s="14">
        <v>52.1</v>
      </c>
      <c r="J41" s="3">
        <v>6370</v>
      </c>
      <c r="K41" s="15">
        <f t="shared" si="0"/>
        <v>122.26487523992323</v>
      </c>
      <c r="L41" s="3" t="s">
        <v>128</v>
      </c>
    </row>
    <row r="42" spans="1:16">
      <c r="A42" s="8" t="s">
        <v>306</v>
      </c>
      <c r="B42" s="8" t="s">
        <v>130</v>
      </c>
      <c r="C42" s="14">
        <v>100</v>
      </c>
      <c r="D42" s="14">
        <v>1</v>
      </c>
      <c r="E42" s="14">
        <v>500</v>
      </c>
      <c r="F42" s="14">
        <v>10</v>
      </c>
      <c r="G42" s="14">
        <v>510</v>
      </c>
      <c r="H42" s="14" t="s">
        <v>89</v>
      </c>
      <c r="I42" s="14">
        <v>52.1</v>
      </c>
      <c r="J42" s="3">
        <v>6362</v>
      </c>
      <c r="K42" s="15">
        <f t="shared" si="0"/>
        <v>122.11132437619962</v>
      </c>
      <c r="L42" s="3" t="s">
        <v>130</v>
      </c>
    </row>
    <row r="43" spans="1:16">
      <c r="A43" s="8" t="s">
        <v>307</v>
      </c>
      <c r="B43" s="8" t="s">
        <v>132</v>
      </c>
      <c r="C43" s="14">
        <v>100</v>
      </c>
      <c r="D43" s="14">
        <v>1</v>
      </c>
      <c r="E43" s="14">
        <v>500</v>
      </c>
      <c r="F43" s="14">
        <v>10</v>
      </c>
      <c r="G43" s="14">
        <v>510</v>
      </c>
      <c r="H43" s="14" t="s">
        <v>89</v>
      </c>
      <c r="I43" s="14">
        <v>52.1</v>
      </c>
      <c r="J43" s="3">
        <v>6473</v>
      </c>
      <c r="K43" s="15">
        <f t="shared" si="0"/>
        <v>124.24184261036469</v>
      </c>
      <c r="L43" s="3" t="s">
        <v>132</v>
      </c>
    </row>
    <row r="44" spans="1:16">
      <c r="A44" s="8" t="s">
        <v>308</v>
      </c>
      <c r="B44" s="8" t="s">
        <v>134</v>
      </c>
      <c r="C44" s="14">
        <v>100</v>
      </c>
      <c r="D44" s="14">
        <v>1</v>
      </c>
      <c r="E44" s="14">
        <v>500</v>
      </c>
      <c r="F44" s="14">
        <v>10</v>
      </c>
      <c r="G44" s="14">
        <v>510</v>
      </c>
      <c r="H44" s="14" t="s">
        <v>89</v>
      </c>
      <c r="I44" s="14">
        <v>52.1</v>
      </c>
      <c r="J44" s="3">
        <v>6990</v>
      </c>
      <c r="K44" s="15">
        <f t="shared" si="0"/>
        <v>134.16506717850288</v>
      </c>
      <c r="L44" s="3" t="s">
        <v>134</v>
      </c>
      <c r="P44" t="s">
        <v>467</v>
      </c>
    </row>
    <row r="45" spans="1:16">
      <c r="A45" s="8" t="s">
        <v>309</v>
      </c>
      <c r="B45" s="8" t="s">
        <v>136</v>
      </c>
      <c r="C45" s="14">
        <v>100</v>
      </c>
      <c r="D45" s="14">
        <v>1</v>
      </c>
      <c r="E45" s="14">
        <v>500</v>
      </c>
      <c r="F45" s="14">
        <v>10</v>
      </c>
      <c r="G45" s="14">
        <v>510</v>
      </c>
      <c r="H45" s="14" t="s">
        <v>89</v>
      </c>
      <c r="I45" s="14">
        <v>52.1</v>
      </c>
      <c r="J45" s="3">
        <v>6459</v>
      </c>
      <c r="K45" s="15">
        <f t="shared" si="0"/>
        <v>123.97312859884838</v>
      </c>
      <c r="L45" s="3" t="s">
        <v>136</v>
      </c>
    </row>
    <row r="46" spans="1:16">
      <c r="A46" s="8" t="s">
        <v>310</v>
      </c>
      <c r="B46" s="8" t="s">
        <v>138</v>
      </c>
      <c r="C46" s="14">
        <v>100</v>
      </c>
      <c r="D46" s="14">
        <v>1</v>
      </c>
      <c r="E46" s="14">
        <v>500</v>
      </c>
      <c r="F46" s="14">
        <v>10</v>
      </c>
      <c r="G46" s="14">
        <v>510</v>
      </c>
      <c r="H46" s="14" t="s">
        <v>89</v>
      </c>
      <c r="I46" s="14">
        <v>52.1</v>
      </c>
      <c r="J46" s="3">
        <v>6604</v>
      </c>
      <c r="K46" s="15">
        <f t="shared" si="0"/>
        <v>126.75623800383877</v>
      </c>
      <c r="L46" s="3" t="s">
        <v>138</v>
      </c>
    </row>
    <row r="47" spans="1:16">
      <c r="A47" s="8" t="s">
        <v>311</v>
      </c>
      <c r="B47" s="8" t="s">
        <v>140</v>
      </c>
      <c r="C47" s="14">
        <v>100</v>
      </c>
      <c r="D47" s="14">
        <v>1</v>
      </c>
      <c r="E47" s="14">
        <v>500</v>
      </c>
      <c r="F47" s="14">
        <v>10</v>
      </c>
      <c r="G47" s="14">
        <v>510</v>
      </c>
      <c r="H47" s="14" t="s">
        <v>89</v>
      </c>
      <c r="I47" s="14">
        <v>52.1</v>
      </c>
      <c r="J47" s="3">
        <v>16130</v>
      </c>
      <c r="K47" s="15">
        <f t="shared" si="0"/>
        <v>309.59692898272556</v>
      </c>
      <c r="L47" s="3" t="s">
        <v>140</v>
      </c>
    </row>
    <row r="48" spans="1:16">
      <c r="A48" s="8" t="s">
        <v>312</v>
      </c>
      <c r="B48" s="8" t="s">
        <v>142</v>
      </c>
      <c r="C48" s="14">
        <v>100</v>
      </c>
      <c r="D48" s="14">
        <v>1</v>
      </c>
      <c r="E48" s="14">
        <v>500</v>
      </c>
      <c r="F48" s="14">
        <v>10</v>
      </c>
      <c r="G48" s="14">
        <v>510</v>
      </c>
      <c r="H48" s="14" t="s">
        <v>89</v>
      </c>
      <c r="I48" s="14">
        <v>52.1</v>
      </c>
      <c r="J48" s="3">
        <v>6297</v>
      </c>
      <c r="K48" s="15">
        <f t="shared" si="0"/>
        <v>120.8637236084453</v>
      </c>
      <c r="L48" s="3" t="s">
        <v>142</v>
      </c>
    </row>
    <row r="49" spans="1:12">
      <c r="A49" s="8" t="s">
        <v>313</v>
      </c>
      <c r="B49" s="8" t="s">
        <v>144</v>
      </c>
      <c r="C49" s="14">
        <v>100</v>
      </c>
      <c r="D49" s="14">
        <v>1</v>
      </c>
      <c r="E49" s="14">
        <v>500</v>
      </c>
      <c r="F49" s="14">
        <v>10</v>
      </c>
      <c r="G49" s="14">
        <v>510</v>
      </c>
      <c r="H49" s="14" t="s">
        <v>89</v>
      </c>
      <c r="I49" s="14">
        <v>52.1</v>
      </c>
      <c r="J49" s="3">
        <v>6148</v>
      </c>
      <c r="K49" s="15">
        <f t="shared" si="0"/>
        <v>118.00383877159308</v>
      </c>
      <c r="L49" s="3" t="s">
        <v>144</v>
      </c>
    </row>
    <row r="50" spans="1:12">
      <c r="A50" s="8" t="s">
        <v>314</v>
      </c>
      <c r="B50" s="8" t="s">
        <v>146</v>
      </c>
      <c r="C50" s="14">
        <v>10</v>
      </c>
      <c r="D50" s="14">
        <v>1</v>
      </c>
      <c r="E50" s="14">
        <v>500</v>
      </c>
      <c r="F50" s="14">
        <v>10</v>
      </c>
      <c r="G50" s="14">
        <v>510</v>
      </c>
      <c r="H50" s="14" t="s">
        <v>89</v>
      </c>
      <c r="I50" s="14">
        <v>52.1</v>
      </c>
      <c r="J50" s="3">
        <v>7433</v>
      </c>
      <c r="K50" s="15">
        <f t="shared" si="0"/>
        <v>14.266794625719772</v>
      </c>
      <c r="L50" s="3" t="s">
        <v>146</v>
      </c>
    </row>
    <row r="51" spans="1:12">
      <c r="A51" s="8" t="s">
        <v>315</v>
      </c>
      <c r="B51" s="8" t="s">
        <v>148</v>
      </c>
      <c r="C51" s="14">
        <v>10</v>
      </c>
      <c r="D51" s="14">
        <v>1</v>
      </c>
      <c r="E51" s="14">
        <v>500</v>
      </c>
      <c r="F51" s="14">
        <v>10</v>
      </c>
      <c r="G51" s="14">
        <v>510</v>
      </c>
      <c r="H51" s="14" t="s">
        <v>89</v>
      </c>
      <c r="I51" s="14">
        <v>52.1</v>
      </c>
      <c r="J51" s="3">
        <v>7448</v>
      </c>
      <c r="K51" s="15">
        <f t="shared" si="0"/>
        <v>14.295585412667945</v>
      </c>
      <c r="L51" s="3" t="s">
        <v>148</v>
      </c>
    </row>
    <row r="52" spans="1:12">
      <c r="A52" s="8" t="s">
        <v>316</v>
      </c>
      <c r="B52" s="8" t="s">
        <v>150</v>
      </c>
      <c r="C52" s="14">
        <v>10</v>
      </c>
      <c r="D52" s="14">
        <v>1</v>
      </c>
      <c r="E52" s="14">
        <v>500</v>
      </c>
      <c r="F52" s="14">
        <v>10</v>
      </c>
      <c r="G52" s="14">
        <v>510</v>
      </c>
      <c r="H52" s="14" t="s">
        <v>89</v>
      </c>
      <c r="I52" s="14">
        <v>52.1</v>
      </c>
      <c r="J52" s="3">
        <v>7567</v>
      </c>
      <c r="K52" s="15">
        <f t="shared" si="0"/>
        <v>14.523992322456813</v>
      </c>
      <c r="L52" s="3" t="s">
        <v>150</v>
      </c>
    </row>
    <row r="53" spans="1:12">
      <c r="A53" s="8" t="s">
        <v>317</v>
      </c>
      <c r="B53" s="8" t="s">
        <v>152</v>
      </c>
      <c r="C53" s="14">
        <v>10</v>
      </c>
      <c r="D53" s="14">
        <v>1</v>
      </c>
      <c r="E53" s="14">
        <v>500</v>
      </c>
      <c r="F53" s="14">
        <v>10</v>
      </c>
      <c r="G53" s="14">
        <v>510</v>
      </c>
      <c r="H53" s="14" t="s">
        <v>89</v>
      </c>
      <c r="I53" s="14">
        <v>52.1</v>
      </c>
      <c r="J53" s="3">
        <v>7568</v>
      </c>
      <c r="K53" s="15">
        <f t="shared" si="0"/>
        <v>14.525911708253361</v>
      </c>
      <c r="L53" s="3" t="s">
        <v>152</v>
      </c>
    </row>
    <row r="54" spans="1:12">
      <c r="A54" s="8" t="s">
        <v>318</v>
      </c>
      <c r="B54" s="8" t="s">
        <v>154</v>
      </c>
      <c r="C54" s="14">
        <v>10</v>
      </c>
      <c r="D54" s="14">
        <v>1</v>
      </c>
      <c r="E54" s="14">
        <v>500</v>
      </c>
      <c r="F54" s="14">
        <v>10</v>
      </c>
      <c r="G54" s="14">
        <v>510</v>
      </c>
      <c r="H54" s="14" t="s">
        <v>89</v>
      </c>
      <c r="I54" s="14">
        <v>52.1</v>
      </c>
      <c r="J54" s="3">
        <v>7546</v>
      </c>
      <c r="K54" s="15">
        <f t="shared" si="0"/>
        <v>14.483685220729368</v>
      </c>
      <c r="L54" s="3" t="s">
        <v>154</v>
      </c>
    </row>
    <row r="55" spans="1:12">
      <c r="A55" s="8" t="s">
        <v>319</v>
      </c>
      <c r="B55" s="8" t="s">
        <v>156</v>
      </c>
      <c r="C55" s="14">
        <v>10</v>
      </c>
      <c r="D55" s="14">
        <v>1</v>
      </c>
      <c r="E55" s="14">
        <v>500</v>
      </c>
      <c r="F55" s="14">
        <v>10</v>
      </c>
      <c r="G55" s="14">
        <v>510</v>
      </c>
      <c r="H55" s="14" t="s">
        <v>89</v>
      </c>
      <c r="I55" s="14">
        <v>52.1</v>
      </c>
      <c r="J55" s="3">
        <v>7430</v>
      </c>
      <c r="K55" s="15">
        <f t="shared" si="0"/>
        <v>14.261036468330133</v>
      </c>
      <c r="L55" s="3" t="s">
        <v>156</v>
      </c>
    </row>
    <row r="56" spans="1:12">
      <c r="A56" s="8" t="s">
        <v>320</v>
      </c>
      <c r="B56" s="8" t="s">
        <v>158</v>
      </c>
      <c r="C56" s="14">
        <v>10</v>
      </c>
      <c r="D56" s="14">
        <v>1</v>
      </c>
      <c r="E56" s="14">
        <v>500</v>
      </c>
      <c r="F56" s="14">
        <v>10</v>
      </c>
      <c r="G56" s="14">
        <v>510</v>
      </c>
      <c r="H56" s="14" t="s">
        <v>89</v>
      </c>
      <c r="I56" s="14">
        <v>52.1</v>
      </c>
      <c r="J56" s="3">
        <v>7230</v>
      </c>
      <c r="K56" s="15">
        <f t="shared" si="0"/>
        <v>13.877159309021113</v>
      </c>
      <c r="L56" s="3" t="s">
        <v>158</v>
      </c>
    </row>
    <row r="57" spans="1:12">
      <c r="A57" s="8" t="s">
        <v>321</v>
      </c>
      <c r="B57" s="8" t="s">
        <v>160</v>
      </c>
      <c r="C57" s="14">
        <v>10</v>
      </c>
      <c r="D57" s="14">
        <v>1</v>
      </c>
      <c r="E57" s="14">
        <v>500</v>
      </c>
      <c r="F57" s="14">
        <v>10</v>
      </c>
      <c r="G57" s="14">
        <v>510</v>
      </c>
      <c r="H57" s="14" t="s">
        <v>89</v>
      </c>
      <c r="I57" s="14">
        <v>52.1</v>
      </c>
      <c r="J57" s="3">
        <v>7719</v>
      </c>
      <c r="K57" s="15">
        <f t="shared" si="0"/>
        <v>14.81573896353167</v>
      </c>
      <c r="L57" s="3" t="s">
        <v>160</v>
      </c>
    </row>
    <row r="58" spans="1:12">
      <c r="A58" s="8" t="s">
        <v>322</v>
      </c>
      <c r="B58" s="8" t="s">
        <v>162</v>
      </c>
      <c r="C58" s="14">
        <v>10</v>
      </c>
      <c r="D58" s="14">
        <v>1</v>
      </c>
      <c r="E58" s="14">
        <v>500</v>
      </c>
      <c r="F58" s="14">
        <v>10</v>
      </c>
      <c r="G58" s="14">
        <v>510</v>
      </c>
      <c r="H58" s="14" t="s">
        <v>89</v>
      </c>
      <c r="I58" s="14">
        <v>52.1</v>
      </c>
      <c r="J58" s="3">
        <v>7583</v>
      </c>
      <c r="K58" s="15">
        <f t="shared" si="0"/>
        <v>14.554702495201536</v>
      </c>
      <c r="L58" s="3" t="s">
        <v>162</v>
      </c>
    </row>
    <row r="59" spans="1:12">
      <c r="A59" s="8" t="s">
        <v>323</v>
      </c>
      <c r="B59" s="8" t="s">
        <v>212</v>
      </c>
      <c r="C59" s="14">
        <v>100</v>
      </c>
      <c r="D59" s="14">
        <v>1</v>
      </c>
      <c r="E59" s="14">
        <v>500</v>
      </c>
      <c r="F59" s="14">
        <v>10</v>
      </c>
      <c r="G59" s="14">
        <v>510</v>
      </c>
      <c r="H59" s="14" t="s">
        <v>89</v>
      </c>
      <c r="I59" s="14">
        <v>52.1</v>
      </c>
      <c r="J59" s="3">
        <v>9725</v>
      </c>
      <c r="K59" s="15">
        <f t="shared" si="0"/>
        <v>186.66026871401149</v>
      </c>
      <c r="L59" s="3" t="s">
        <v>212</v>
      </c>
    </row>
    <row r="60" spans="1:12">
      <c r="A60" s="8" t="s">
        <v>324</v>
      </c>
      <c r="B60" s="8" t="s">
        <v>214</v>
      </c>
      <c r="C60" s="14">
        <v>100</v>
      </c>
      <c r="D60" s="14">
        <v>1</v>
      </c>
      <c r="E60" s="14">
        <v>500</v>
      </c>
      <c r="F60" s="14">
        <v>10</v>
      </c>
      <c r="G60" s="14">
        <v>510</v>
      </c>
      <c r="H60" s="14" t="s">
        <v>89</v>
      </c>
      <c r="I60" s="14">
        <v>52.1</v>
      </c>
      <c r="J60" s="3">
        <v>9519</v>
      </c>
      <c r="K60" s="15">
        <f t="shared" si="0"/>
        <v>182.70633397312861</v>
      </c>
      <c r="L60" s="3" t="s">
        <v>214</v>
      </c>
    </row>
    <row r="61" spans="1:12">
      <c r="A61" s="8" t="s">
        <v>325</v>
      </c>
      <c r="B61" s="8" t="s">
        <v>216</v>
      </c>
      <c r="C61" s="14">
        <v>100</v>
      </c>
      <c r="D61" s="14">
        <v>1</v>
      </c>
      <c r="E61" s="14">
        <v>500</v>
      </c>
      <c r="F61" s="14">
        <v>10</v>
      </c>
      <c r="G61" s="14">
        <v>510</v>
      </c>
      <c r="H61" s="14" t="s">
        <v>89</v>
      </c>
      <c r="I61" s="14">
        <v>52.1</v>
      </c>
      <c r="J61" s="3">
        <v>9639</v>
      </c>
      <c r="K61" s="15">
        <f t="shared" si="0"/>
        <v>185.00959692898275</v>
      </c>
      <c r="L61" s="3" t="s">
        <v>216</v>
      </c>
    </row>
    <row r="62" spans="1:12">
      <c r="A62" s="8" t="s">
        <v>326</v>
      </c>
      <c r="B62" s="8" t="s">
        <v>218</v>
      </c>
      <c r="C62" s="14">
        <v>100</v>
      </c>
      <c r="D62" s="14">
        <v>1</v>
      </c>
      <c r="E62" s="14">
        <v>500</v>
      </c>
      <c r="F62" s="14">
        <v>10</v>
      </c>
      <c r="G62" s="14">
        <v>510</v>
      </c>
      <c r="H62" s="14" t="s">
        <v>89</v>
      </c>
      <c r="I62" s="14">
        <v>52.1</v>
      </c>
      <c r="J62" s="3">
        <v>8148</v>
      </c>
      <c r="K62" s="15">
        <f t="shared" si="0"/>
        <v>156.3915547024952</v>
      </c>
      <c r="L62" s="3" t="s">
        <v>218</v>
      </c>
    </row>
    <row r="63" spans="1:12">
      <c r="A63" s="8" t="s">
        <v>327</v>
      </c>
      <c r="B63" s="8" t="s">
        <v>220</v>
      </c>
      <c r="C63" s="14">
        <v>100</v>
      </c>
      <c r="D63" s="14">
        <v>1</v>
      </c>
      <c r="E63" s="14">
        <v>500</v>
      </c>
      <c r="F63" s="14">
        <v>10</v>
      </c>
      <c r="G63" s="14">
        <v>510</v>
      </c>
      <c r="H63" s="14" t="s">
        <v>89</v>
      </c>
      <c r="I63" s="14">
        <v>52.1</v>
      </c>
      <c r="J63" s="3">
        <v>7611</v>
      </c>
      <c r="K63" s="15">
        <f t="shared" si="0"/>
        <v>146.08445297504798</v>
      </c>
      <c r="L63" s="3" t="s">
        <v>220</v>
      </c>
    </row>
    <row r="64" spans="1:12">
      <c r="A64" s="8" t="s">
        <v>328</v>
      </c>
      <c r="B64" s="8" t="s">
        <v>222</v>
      </c>
      <c r="C64" s="14">
        <v>100</v>
      </c>
      <c r="D64" s="14">
        <v>1</v>
      </c>
      <c r="E64" s="14">
        <v>500</v>
      </c>
      <c r="F64" s="14">
        <v>10</v>
      </c>
      <c r="G64" s="14">
        <v>510</v>
      </c>
      <c r="H64" s="14" t="s">
        <v>89</v>
      </c>
      <c r="I64" s="14">
        <v>52.1</v>
      </c>
      <c r="J64" s="3">
        <v>7254</v>
      </c>
      <c r="K64" s="15">
        <f t="shared" si="0"/>
        <v>139.23224568138195</v>
      </c>
      <c r="L64" s="3" t="s">
        <v>222</v>
      </c>
    </row>
    <row r="65" spans="1:16">
      <c r="A65" s="8" t="s">
        <v>329</v>
      </c>
      <c r="B65" s="8" t="s">
        <v>224</v>
      </c>
      <c r="C65" s="14">
        <v>100</v>
      </c>
      <c r="D65" s="14">
        <v>1</v>
      </c>
      <c r="E65" s="14">
        <v>500</v>
      </c>
      <c r="F65" s="14">
        <v>10</v>
      </c>
      <c r="G65" s="14">
        <v>510</v>
      </c>
      <c r="H65" s="14" t="s">
        <v>89</v>
      </c>
      <c r="I65" s="14">
        <v>52.1</v>
      </c>
      <c r="J65" s="3">
        <v>6907</v>
      </c>
      <c r="K65" s="15">
        <f t="shared" si="0"/>
        <v>132.57197696737043</v>
      </c>
      <c r="L65" s="3" t="s">
        <v>224</v>
      </c>
    </row>
    <row r="66" spans="1:16">
      <c r="A66" s="8" t="s">
        <v>330</v>
      </c>
      <c r="B66" s="8" t="s">
        <v>226</v>
      </c>
      <c r="C66" s="14">
        <v>100</v>
      </c>
      <c r="D66" s="14">
        <v>1</v>
      </c>
      <c r="E66" s="14">
        <v>500</v>
      </c>
      <c r="F66" s="14">
        <v>10</v>
      </c>
      <c r="G66" s="14">
        <v>510</v>
      </c>
      <c r="H66" s="14" t="s">
        <v>89</v>
      </c>
      <c r="I66" s="14">
        <v>52.1</v>
      </c>
      <c r="J66" s="3">
        <v>6832</v>
      </c>
      <c r="K66" s="15">
        <f t="shared" si="0"/>
        <v>131.13243761996162</v>
      </c>
      <c r="L66" s="3" t="s">
        <v>226</v>
      </c>
    </row>
    <row r="67" spans="1:16">
      <c r="A67" s="8" t="s">
        <v>331</v>
      </c>
      <c r="B67" s="8" t="s">
        <v>228</v>
      </c>
      <c r="C67" s="14">
        <v>100</v>
      </c>
      <c r="D67" s="14">
        <v>1</v>
      </c>
      <c r="E67" s="14">
        <v>500</v>
      </c>
      <c r="F67" s="14">
        <v>10</v>
      </c>
      <c r="G67" s="14">
        <v>510</v>
      </c>
      <c r="H67" s="14" t="s">
        <v>89</v>
      </c>
      <c r="I67" s="14">
        <v>52.1</v>
      </c>
      <c r="J67" s="3">
        <v>7055</v>
      </c>
      <c r="K67" s="15">
        <f t="shared" si="0"/>
        <v>135.41266794625719</v>
      </c>
      <c r="L67" s="3" t="s">
        <v>228</v>
      </c>
    </row>
    <row r="68" spans="1:16">
      <c r="A68" s="8" t="s">
        <v>332</v>
      </c>
      <c r="B68" s="8" t="s">
        <v>140</v>
      </c>
      <c r="C68" s="14">
        <v>100</v>
      </c>
      <c r="D68" s="14">
        <v>1</v>
      </c>
      <c r="E68" s="14">
        <v>500</v>
      </c>
      <c r="F68" s="14">
        <v>10</v>
      </c>
      <c r="G68" s="14">
        <v>510</v>
      </c>
      <c r="H68" s="14" t="s">
        <v>89</v>
      </c>
      <c r="I68" s="14">
        <v>52.1</v>
      </c>
      <c r="J68" s="3">
        <v>6172</v>
      </c>
      <c r="K68" s="15">
        <f t="shared" si="0"/>
        <v>118.46449136276392</v>
      </c>
      <c r="L68" s="3" t="s">
        <v>140</v>
      </c>
    </row>
    <row r="69" spans="1:16">
      <c r="A69" s="8" t="s">
        <v>333</v>
      </c>
      <c r="B69" s="8" t="s">
        <v>230</v>
      </c>
      <c r="C69" s="14">
        <v>10</v>
      </c>
      <c r="D69" s="14">
        <v>1</v>
      </c>
      <c r="E69" s="14">
        <v>500</v>
      </c>
      <c r="F69" s="14">
        <v>10</v>
      </c>
      <c r="G69" s="14">
        <v>510</v>
      </c>
      <c r="H69" s="14" t="s">
        <v>89</v>
      </c>
      <c r="I69" s="14">
        <v>52.1</v>
      </c>
      <c r="J69" s="3">
        <v>25907</v>
      </c>
      <c r="K69" s="15">
        <f t="shared" si="0"/>
        <v>49.725527831094048</v>
      </c>
      <c r="L69" s="3" t="s">
        <v>230</v>
      </c>
    </row>
    <row r="70" spans="1:16">
      <c r="A70" s="8" t="s">
        <v>334</v>
      </c>
      <c r="B70" s="8" t="s">
        <v>232</v>
      </c>
      <c r="C70" s="14">
        <v>10</v>
      </c>
      <c r="D70" s="14">
        <v>1</v>
      </c>
      <c r="E70" s="14">
        <v>500</v>
      </c>
      <c r="F70" s="14">
        <v>10</v>
      </c>
      <c r="G70" s="14">
        <v>510</v>
      </c>
      <c r="H70" s="14" t="s">
        <v>89</v>
      </c>
      <c r="I70" s="14">
        <v>52.1</v>
      </c>
      <c r="J70" s="3">
        <v>35289</v>
      </c>
      <c r="K70" s="15">
        <f t="shared" ref="K70:K79" si="21">((J70/((I70*D70)/1000))*C70)/100000</f>
        <v>67.733205374280232</v>
      </c>
      <c r="L70" s="3" t="s">
        <v>232</v>
      </c>
    </row>
    <row r="71" spans="1:16">
      <c r="A71" s="8" t="s">
        <v>335</v>
      </c>
      <c r="B71" s="8" t="s">
        <v>234</v>
      </c>
      <c r="C71" s="14">
        <v>10</v>
      </c>
      <c r="D71" s="14">
        <v>1</v>
      </c>
      <c r="E71" s="14">
        <v>500</v>
      </c>
      <c r="F71" s="14">
        <v>10</v>
      </c>
      <c r="G71" s="14">
        <v>510</v>
      </c>
      <c r="H71" s="14" t="s">
        <v>89</v>
      </c>
      <c r="I71" s="14">
        <v>52.1</v>
      </c>
      <c r="J71" s="3">
        <v>32711</v>
      </c>
      <c r="K71" s="15">
        <f t="shared" si="21"/>
        <v>62.785028790786946</v>
      </c>
      <c r="L71" s="3" t="s">
        <v>234</v>
      </c>
    </row>
    <row r="72" spans="1:16">
      <c r="A72" s="8" t="s">
        <v>336</v>
      </c>
      <c r="B72" s="8" t="s">
        <v>236</v>
      </c>
      <c r="C72" s="14">
        <v>10</v>
      </c>
      <c r="D72" s="14">
        <v>1</v>
      </c>
      <c r="E72" s="14">
        <v>500</v>
      </c>
      <c r="F72" s="14">
        <v>10</v>
      </c>
      <c r="G72" s="14">
        <v>510</v>
      </c>
      <c r="H72" s="14" t="s">
        <v>89</v>
      </c>
      <c r="I72" s="14">
        <v>52.1</v>
      </c>
      <c r="J72" s="3">
        <v>18403</v>
      </c>
      <c r="K72" s="15">
        <f t="shared" si="21"/>
        <v>35.322456813819578</v>
      </c>
      <c r="L72" s="3" t="s">
        <v>236</v>
      </c>
    </row>
    <row r="73" spans="1:16">
      <c r="A73" s="8" t="s">
        <v>337</v>
      </c>
      <c r="B73" s="8" t="s">
        <v>238</v>
      </c>
      <c r="C73" s="14">
        <v>10</v>
      </c>
      <c r="D73" s="14">
        <v>1</v>
      </c>
      <c r="E73" s="14">
        <v>500</v>
      </c>
      <c r="F73" s="14">
        <v>10</v>
      </c>
      <c r="G73" s="14">
        <v>510</v>
      </c>
      <c r="H73" s="14" t="s">
        <v>89</v>
      </c>
      <c r="I73" s="14">
        <v>52.1</v>
      </c>
      <c r="J73" s="3">
        <v>19078</v>
      </c>
      <c r="K73" s="15">
        <f t="shared" si="21"/>
        <v>36.618042226487532</v>
      </c>
      <c r="L73" s="3" t="s">
        <v>238</v>
      </c>
    </row>
    <row r="74" spans="1:16">
      <c r="A74" s="8" t="s">
        <v>338</v>
      </c>
      <c r="B74" s="8" t="s">
        <v>240</v>
      </c>
      <c r="C74" s="14">
        <v>10</v>
      </c>
      <c r="D74" s="14">
        <v>1</v>
      </c>
      <c r="E74" s="14">
        <v>500</v>
      </c>
      <c r="F74" s="14">
        <v>10</v>
      </c>
      <c r="G74" s="14">
        <v>510</v>
      </c>
      <c r="H74" s="14" t="s">
        <v>89</v>
      </c>
      <c r="I74" s="14">
        <v>52.1</v>
      </c>
      <c r="J74" s="3">
        <v>24914</v>
      </c>
      <c r="K74" s="15">
        <f t="shared" si="21"/>
        <v>47.81957773512476</v>
      </c>
      <c r="L74" s="3" t="s">
        <v>240</v>
      </c>
    </row>
    <row r="75" spans="1:16">
      <c r="A75" s="8" t="s">
        <v>339</v>
      </c>
      <c r="B75" s="8" t="s">
        <v>242</v>
      </c>
      <c r="C75" s="14">
        <v>10</v>
      </c>
      <c r="D75" s="14">
        <v>1</v>
      </c>
      <c r="E75" s="14">
        <v>500</v>
      </c>
      <c r="F75" s="14">
        <v>10</v>
      </c>
      <c r="G75" s="14">
        <v>510</v>
      </c>
      <c r="H75" s="14" t="s">
        <v>89</v>
      </c>
      <c r="I75" s="14">
        <v>52.1</v>
      </c>
      <c r="J75" s="3">
        <v>16245</v>
      </c>
      <c r="K75" s="15">
        <f t="shared" si="21"/>
        <v>31.18042226487524</v>
      </c>
      <c r="L75" s="3" t="s">
        <v>242</v>
      </c>
    </row>
    <row r="76" spans="1:16">
      <c r="A76" s="8" t="s">
        <v>340</v>
      </c>
      <c r="B76" s="8" t="s">
        <v>244</v>
      </c>
      <c r="C76" s="14">
        <v>10</v>
      </c>
      <c r="D76" s="14">
        <v>1</v>
      </c>
      <c r="E76" s="14">
        <v>500</v>
      </c>
      <c r="F76" s="14">
        <v>10</v>
      </c>
      <c r="G76" s="14">
        <v>510</v>
      </c>
      <c r="H76" s="14" t="s">
        <v>89</v>
      </c>
      <c r="I76" s="14">
        <v>52.1</v>
      </c>
      <c r="J76" s="3">
        <v>16788</v>
      </c>
      <c r="K76" s="15">
        <f t="shared" si="21"/>
        <v>32.22264875239923</v>
      </c>
      <c r="L76" s="3" t="s">
        <v>244</v>
      </c>
    </row>
    <row r="77" spans="1:16">
      <c r="A77" s="8" t="s">
        <v>341</v>
      </c>
      <c r="B77" s="8" t="s">
        <v>246</v>
      </c>
      <c r="C77" s="14">
        <v>10</v>
      </c>
      <c r="D77" s="14">
        <v>1</v>
      </c>
      <c r="E77" s="14">
        <v>500</v>
      </c>
      <c r="F77" s="14">
        <v>10</v>
      </c>
      <c r="G77" s="14">
        <v>510</v>
      </c>
      <c r="H77" s="14" t="s">
        <v>89</v>
      </c>
      <c r="I77" s="14">
        <v>52.1</v>
      </c>
      <c r="J77" s="3">
        <v>16806</v>
      </c>
      <c r="K77" s="15">
        <f t="shared" si="21"/>
        <v>32.257197696737045</v>
      </c>
      <c r="L77" s="3" t="s">
        <v>246</v>
      </c>
    </row>
    <row r="78" spans="1:16">
      <c r="A78" s="8" t="s">
        <v>342</v>
      </c>
      <c r="B78" s="8" t="s">
        <v>343</v>
      </c>
      <c r="C78" s="14">
        <v>100</v>
      </c>
      <c r="D78" s="14">
        <v>1</v>
      </c>
      <c r="E78" s="14">
        <v>500</v>
      </c>
      <c r="F78" s="14">
        <v>10</v>
      </c>
      <c r="G78" s="14">
        <v>510</v>
      </c>
      <c r="H78" s="14" t="s">
        <v>89</v>
      </c>
      <c r="I78" s="14">
        <v>52.1</v>
      </c>
      <c r="J78" s="3">
        <v>41103</v>
      </c>
      <c r="K78" s="15">
        <f t="shared" si="21"/>
        <v>788.92514395393471</v>
      </c>
      <c r="L78" s="3" t="s">
        <v>343</v>
      </c>
      <c r="P78" s="16"/>
    </row>
    <row r="79" spans="1:16">
      <c r="A79" s="8" t="s">
        <v>344</v>
      </c>
      <c r="B79" s="8" t="s">
        <v>345</v>
      </c>
      <c r="C79" s="14">
        <v>1000</v>
      </c>
      <c r="D79" s="14">
        <v>1</v>
      </c>
      <c r="E79" s="14">
        <v>500</v>
      </c>
      <c r="F79" s="14">
        <v>10</v>
      </c>
      <c r="G79" s="14">
        <v>510</v>
      </c>
      <c r="H79" s="14" t="s">
        <v>89</v>
      </c>
      <c r="I79" s="14">
        <v>52.1</v>
      </c>
      <c r="J79" s="3">
        <v>3323</v>
      </c>
      <c r="K79" s="15">
        <f t="shared" si="21"/>
        <v>637.81190019193855</v>
      </c>
      <c r="L79" s="3" t="s">
        <v>345</v>
      </c>
    </row>
    <row r="81" spans="8:16">
      <c r="M81" t="s">
        <v>458</v>
      </c>
      <c r="O81" s="20">
        <f>K78*100000*1000</f>
        <v>78892514395.393478</v>
      </c>
      <c r="P81" t="s">
        <v>450</v>
      </c>
    </row>
    <row r="82" spans="8:16">
      <c r="H82" s="11" t="s">
        <v>631</v>
      </c>
      <c r="M82" t="s">
        <v>459</v>
      </c>
      <c r="O82">
        <f>K79*100000*1000</f>
        <v>63781190019.193855</v>
      </c>
      <c r="P82" t="s">
        <v>450</v>
      </c>
    </row>
    <row r="83" spans="8:16">
      <c r="H83" t="s">
        <v>466</v>
      </c>
      <c r="J83">
        <v>20230000000000</v>
      </c>
      <c r="K83" t="s">
        <v>460</v>
      </c>
      <c r="M83" s="21" t="s">
        <v>449</v>
      </c>
      <c r="N83" s="21"/>
      <c r="O83" s="22">
        <f>O81-O82</f>
        <v>15111324376.199623</v>
      </c>
      <c r="P83" s="21" t="s">
        <v>450</v>
      </c>
    </row>
    <row r="84" spans="8:16">
      <c r="H84" t="s">
        <v>461</v>
      </c>
      <c r="J84">
        <v>1.1599999999999999</v>
      </c>
      <c r="K84" t="s">
        <v>462</v>
      </c>
      <c r="M84" s="21" t="s">
        <v>451</v>
      </c>
      <c r="N84" s="21"/>
      <c r="O84" s="21">
        <v>2.54</v>
      </c>
      <c r="P84" s="21" t="s">
        <v>452</v>
      </c>
    </row>
    <row r="85" spans="8:16">
      <c r="H85" t="s">
        <v>463</v>
      </c>
      <c r="J85">
        <v>60</v>
      </c>
      <c r="K85" t="s">
        <v>462</v>
      </c>
      <c r="M85" s="21"/>
      <c r="N85" s="21"/>
      <c r="O85" s="21">
        <f>O83*O84</f>
        <v>38382763915.547043</v>
      </c>
      <c r="P85" s="21" t="s">
        <v>453</v>
      </c>
    </row>
    <row r="86" spans="8:16">
      <c r="H86" t="s">
        <v>465</v>
      </c>
      <c r="J86">
        <f>J83*J84/J85</f>
        <v>391113333333.33331</v>
      </c>
      <c r="K86" t="s">
        <v>460</v>
      </c>
      <c r="M86" s="21" t="s">
        <v>455</v>
      </c>
      <c r="N86" s="21"/>
      <c r="O86" s="21">
        <f>O85/1000000000</f>
        <v>38.382763915547045</v>
      </c>
      <c r="P86" s="21" t="s">
        <v>454</v>
      </c>
    </row>
    <row r="87" spans="8:16">
      <c r="H87" t="s">
        <v>458</v>
      </c>
      <c r="J87" s="20">
        <f>O81</f>
        <v>78892514395.393478</v>
      </c>
      <c r="K87" t="s">
        <v>450</v>
      </c>
      <c r="M87" s="21" t="s">
        <v>456</v>
      </c>
      <c r="N87" s="21"/>
      <c r="O87" s="21">
        <f>O86*8/700</f>
        <v>0.43866015903482336</v>
      </c>
      <c r="P87" s="21" t="s">
        <v>454</v>
      </c>
    </row>
    <row r="88" spans="8:16">
      <c r="H88" t="s">
        <v>464</v>
      </c>
      <c r="J88">
        <f>J86/J87</f>
        <v>4.9575468132901888</v>
      </c>
      <c r="M88" s="21" t="s">
        <v>457</v>
      </c>
      <c r="N88" s="21"/>
      <c r="O88" s="21"/>
      <c r="P88" s="21"/>
    </row>
    <row r="90" spans="8:16">
      <c r="O90">
        <f>1000/700</f>
        <v>1.4285714285714286</v>
      </c>
    </row>
    <row r="91" spans="8:16">
      <c r="O91">
        <f>O87/O90</f>
        <v>0.30706211132437633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L83"/>
  <sheetViews>
    <sheetView workbookViewId="0">
      <selection activeCell="S14" sqref="S14"/>
    </sheetView>
  </sheetViews>
  <sheetFormatPr defaultRowHeight="15"/>
  <cols>
    <col min="19" max="20" width="9.140625" style="12"/>
    <col min="22" max="23" width="9.140625" style="12"/>
  </cols>
  <sheetData>
    <row r="2" spans="1:38" ht="39.75">
      <c r="A2" s="4"/>
      <c r="B2" s="5" t="s">
        <v>76</v>
      </c>
      <c r="C2" s="5" t="s">
        <v>77</v>
      </c>
      <c r="D2" s="5" t="s">
        <v>78</v>
      </c>
      <c r="E2" s="5" t="s">
        <v>79</v>
      </c>
      <c r="F2" s="5" t="s">
        <v>80</v>
      </c>
      <c r="G2" s="5" t="s">
        <v>81</v>
      </c>
      <c r="H2" s="5" t="s">
        <v>82</v>
      </c>
      <c r="I2" s="5" t="s">
        <v>247</v>
      </c>
      <c r="J2" s="5" t="s">
        <v>76</v>
      </c>
    </row>
    <row r="3" spans="1:38">
      <c r="A3" s="4"/>
      <c r="B3" s="6"/>
      <c r="C3" s="6"/>
      <c r="D3" s="6"/>
      <c r="E3" s="6"/>
      <c r="F3" s="6"/>
      <c r="G3" s="6"/>
      <c r="H3" s="6"/>
      <c r="I3" s="7"/>
      <c r="J3" s="6"/>
    </row>
    <row r="4" spans="1:38">
      <c r="A4" s="4"/>
      <c r="B4" s="4"/>
      <c r="C4" s="6"/>
      <c r="D4" s="6"/>
      <c r="E4" s="6"/>
      <c r="F4" s="6" t="s">
        <v>84</v>
      </c>
      <c r="G4" s="6">
        <v>75.2</v>
      </c>
      <c r="H4" s="4"/>
      <c r="I4" s="7"/>
      <c r="J4" s="4"/>
    </row>
    <row r="5" spans="1:38">
      <c r="A5" s="9" t="s">
        <v>85</v>
      </c>
      <c r="B5" s="9" t="s">
        <v>92</v>
      </c>
      <c r="C5" s="6">
        <v>1</v>
      </c>
      <c r="D5" s="6">
        <v>1</v>
      </c>
      <c r="E5" s="6">
        <v>500</v>
      </c>
      <c r="F5" s="6" t="s">
        <v>84</v>
      </c>
      <c r="G5" s="14">
        <v>75.2</v>
      </c>
      <c r="H5" s="10">
        <v>1244</v>
      </c>
      <c r="I5" s="7">
        <f>((H5/((G5*D5)/1000))*C5)/10000</f>
        <v>1.6542553191489362</v>
      </c>
      <c r="J5" s="10" t="s">
        <v>92</v>
      </c>
      <c r="AF5" t="s">
        <v>10</v>
      </c>
    </row>
    <row r="6" spans="1:38">
      <c r="A6" s="9" t="s">
        <v>86</v>
      </c>
      <c r="B6" s="9" t="s">
        <v>92</v>
      </c>
      <c r="C6" s="14">
        <v>1</v>
      </c>
      <c r="D6" s="6">
        <v>1</v>
      </c>
      <c r="E6" s="6">
        <v>500</v>
      </c>
      <c r="F6" s="6" t="s">
        <v>84</v>
      </c>
      <c r="G6" s="14">
        <v>75.2</v>
      </c>
      <c r="H6" s="10">
        <v>1185</v>
      </c>
      <c r="I6" s="15">
        <f t="shared" ref="I6:I69" si="0">((H6/((G6*D6)/1000))*C6)/10000</f>
        <v>1.5757978723404253</v>
      </c>
      <c r="J6" s="10" t="s">
        <v>92</v>
      </c>
      <c r="N6">
        <v>0</v>
      </c>
      <c r="O6">
        <v>6.5</v>
      </c>
      <c r="P6">
        <v>19.5</v>
      </c>
      <c r="Q6">
        <v>25.5</v>
      </c>
      <c r="R6" t="s">
        <v>70</v>
      </c>
      <c r="T6" s="12" t="s">
        <v>10</v>
      </c>
      <c r="U6" t="s">
        <v>16</v>
      </c>
      <c r="V6" s="12" t="s">
        <v>10</v>
      </c>
      <c r="W6" s="12" t="s">
        <v>16</v>
      </c>
      <c r="Z6" t="s">
        <v>11</v>
      </c>
      <c r="AA6" t="s">
        <v>14</v>
      </c>
      <c r="AB6" t="s">
        <v>15</v>
      </c>
      <c r="AF6" t="s">
        <v>471</v>
      </c>
    </row>
    <row r="7" spans="1:38">
      <c r="A7" s="9" t="s">
        <v>93</v>
      </c>
      <c r="B7" s="9" t="s">
        <v>94</v>
      </c>
      <c r="C7" s="14">
        <v>1</v>
      </c>
      <c r="D7" s="14">
        <v>1</v>
      </c>
      <c r="E7" s="14">
        <v>500</v>
      </c>
      <c r="F7" s="14" t="s">
        <v>84</v>
      </c>
      <c r="G7" s="14">
        <v>75.2</v>
      </c>
      <c r="H7" s="10">
        <v>1225</v>
      </c>
      <c r="I7" s="15">
        <f t="shared" si="0"/>
        <v>1.6289893617021276</v>
      </c>
      <c r="J7" s="10" t="s">
        <v>94</v>
      </c>
      <c r="M7" t="s">
        <v>248</v>
      </c>
      <c r="N7" s="16">
        <f>I24</f>
        <v>1.7513297872340423</v>
      </c>
      <c r="O7" s="16">
        <f>I6</f>
        <v>1.5757978723404253</v>
      </c>
      <c r="P7" s="16">
        <f>I42</f>
        <v>3.0917553191489362</v>
      </c>
      <c r="Q7" s="16">
        <f>I66</f>
        <v>3.6755319148936172</v>
      </c>
      <c r="R7" s="16">
        <f>Q7-N7</f>
        <v>1.9242021276595749</v>
      </c>
      <c r="S7" s="85" t="s">
        <v>628</v>
      </c>
      <c r="T7" s="16">
        <f>N7</f>
        <v>1.7513297872340423</v>
      </c>
      <c r="U7" s="16">
        <f>N16</f>
        <v>1.8803191489361704</v>
      </c>
      <c r="V7" s="16">
        <f>T7*10000</f>
        <v>17513.297872340423</v>
      </c>
      <c r="W7" s="16">
        <f>U7*10000</f>
        <v>18803.191489361703</v>
      </c>
      <c r="X7" t="s">
        <v>10</v>
      </c>
      <c r="Y7" t="s">
        <v>468</v>
      </c>
      <c r="Z7" s="16">
        <f>R7</f>
        <v>1.9242021276595749</v>
      </c>
      <c r="AA7" s="16">
        <f>R10</f>
        <v>4.4109042553191493</v>
      </c>
      <c r="AB7" s="16">
        <f>R13</f>
        <v>2.144946808510638</v>
      </c>
    </row>
    <row r="8" spans="1:38" ht="15.75" thickBot="1">
      <c r="A8" s="9" t="s">
        <v>95</v>
      </c>
      <c r="B8" s="9" t="s">
        <v>96</v>
      </c>
      <c r="C8" s="14">
        <v>1</v>
      </c>
      <c r="D8" s="14">
        <v>1</v>
      </c>
      <c r="E8" s="14">
        <v>500</v>
      </c>
      <c r="F8" s="14" t="s">
        <v>84</v>
      </c>
      <c r="G8" s="14">
        <v>75.2</v>
      </c>
      <c r="H8" s="10">
        <v>1225</v>
      </c>
      <c r="I8" s="15">
        <f t="shared" si="0"/>
        <v>1.6289893617021276</v>
      </c>
      <c r="J8" s="10" t="s">
        <v>96</v>
      </c>
      <c r="L8" s="12"/>
      <c r="M8" t="s">
        <v>249</v>
      </c>
      <c r="N8" s="16">
        <f t="shared" ref="N8:N24" si="1">I25</f>
        <v>1.7513297872340423</v>
      </c>
      <c r="O8" s="16">
        <f t="shared" ref="O8:O24" si="2">I7</f>
        <v>1.6289893617021276</v>
      </c>
      <c r="P8" s="16">
        <f t="shared" ref="P8:P24" si="3">I43</f>
        <v>3.269946808510638</v>
      </c>
      <c r="Q8" s="16">
        <f t="shared" ref="Q8:Q24" si="4">I67</f>
        <v>3.936170212765957</v>
      </c>
      <c r="R8" s="16">
        <f t="shared" ref="R8:R24" si="5">Q8-N8</f>
        <v>2.1848404255319149</v>
      </c>
      <c r="S8" s="16"/>
      <c r="T8" s="16">
        <f>N8</f>
        <v>1.7513297872340423</v>
      </c>
      <c r="U8" s="16">
        <f>N17</f>
        <v>1.7553191489361704</v>
      </c>
      <c r="V8" s="16">
        <f t="shared" ref="V8:V30" si="6">T8*10000</f>
        <v>17513.297872340423</v>
      </c>
      <c r="W8" s="16">
        <f t="shared" ref="W8:W30" si="7">U8*10000</f>
        <v>17553.191489361703</v>
      </c>
      <c r="Y8" t="s">
        <v>469</v>
      </c>
      <c r="Z8" s="16">
        <f>R8</f>
        <v>2.1848404255319149</v>
      </c>
      <c r="AA8" s="16">
        <f>R11</f>
        <v>4.7579787234042552</v>
      </c>
      <c r="AB8" s="16">
        <f>R14</f>
        <v>1.3829787234042554</v>
      </c>
      <c r="AF8" t="s">
        <v>472</v>
      </c>
    </row>
    <row r="9" spans="1:38">
      <c r="A9" s="9" t="s">
        <v>97</v>
      </c>
      <c r="B9" s="9" t="s">
        <v>98</v>
      </c>
      <c r="C9" s="14">
        <v>1</v>
      </c>
      <c r="D9" s="14">
        <v>1</v>
      </c>
      <c r="E9" s="14">
        <v>500</v>
      </c>
      <c r="F9" s="14" t="s">
        <v>84</v>
      </c>
      <c r="G9" s="14">
        <v>75.2</v>
      </c>
      <c r="H9" s="10">
        <v>1191</v>
      </c>
      <c r="I9" s="15">
        <f t="shared" si="0"/>
        <v>1.5837765957446808</v>
      </c>
      <c r="J9" s="10" t="s">
        <v>98</v>
      </c>
      <c r="L9" s="12"/>
      <c r="M9" t="s">
        <v>250</v>
      </c>
      <c r="N9" s="16">
        <f t="shared" si="1"/>
        <v>1.7420212765957448</v>
      </c>
      <c r="O9" s="16">
        <f t="shared" si="2"/>
        <v>1.6289893617021276</v>
      </c>
      <c r="P9" s="16">
        <f t="shared" si="3"/>
        <v>3.1436170212765955</v>
      </c>
      <c r="Q9" s="16">
        <f t="shared" si="4"/>
        <v>3.8723404255319145</v>
      </c>
      <c r="R9" s="16">
        <f t="shared" si="5"/>
        <v>2.1303191489361697</v>
      </c>
      <c r="S9" s="16"/>
      <c r="T9" s="16">
        <f>N9</f>
        <v>1.7420212765957448</v>
      </c>
      <c r="U9" s="16">
        <f>N18</f>
        <v>2.0319148936170213</v>
      </c>
      <c r="V9" s="16">
        <f t="shared" si="6"/>
        <v>17420.212765957447</v>
      </c>
      <c r="W9" s="16">
        <f t="shared" si="7"/>
        <v>20319.148936170212</v>
      </c>
      <c r="Y9" t="s">
        <v>470</v>
      </c>
      <c r="Z9" s="16">
        <f>R9</f>
        <v>2.1303191489361697</v>
      </c>
      <c r="AA9" s="16">
        <f>R12</f>
        <v>2.1555851063829792</v>
      </c>
      <c r="AB9" s="16">
        <f>R15</f>
        <v>0.6210106382978724</v>
      </c>
      <c r="AF9" s="25" t="s">
        <v>473</v>
      </c>
      <c r="AG9" s="25" t="s">
        <v>474</v>
      </c>
      <c r="AH9" s="25" t="s">
        <v>475</v>
      </c>
      <c r="AI9" s="25" t="s">
        <v>23</v>
      </c>
      <c r="AJ9" s="25" t="s">
        <v>476</v>
      </c>
    </row>
    <row r="10" spans="1:38">
      <c r="A10" s="9" t="s">
        <v>99</v>
      </c>
      <c r="B10" s="9" t="s">
        <v>100</v>
      </c>
      <c r="C10" s="14">
        <v>1</v>
      </c>
      <c r="D10" s="14">
        <v>1</v>
      </c>
      <c r="E10" s="14">
        <v>500</v>
      </c>
      <c r="F10" s="14" t="s">
        <v>84</v>
      </c>
      <c r="G10" s="14">
        <v>75.2</v>
      </c>
      <c r="H10" s="10">
        <v>1190</v>
      </c>
      <c r="I10" s="15">
        <f t="shared" si="0"/>
        <v>1.5824468085106382</v>
      </c>
      <c r="J10" s="10" t="s">
        <v>100</v>
      </c>
      <c r="L10" s="12"/>
      <c r="M10" t="s">
        <v>251</v>
      </c>
      <c r="N10" s="16">
        <f t="shared" si="1"/>
        <v>1.6090425531914891</v>
      </c>
      <c r="O10" s="16">
        <f t="shared" si="2"/>
        <v>1.5837765957446808</v>
      </c>
      <c r="P10" s="16">
        <f t="shared" si="3"/>
        <v>5.039893617021276</v>
      </c>
      <c r="Q10" s="16">
        <f t="shared" si="4"/>
        <v>6.019946808510638</v>
      </c>
      <c r="R10" s="16">
        <f t="shared" si="5"/>
        <v>4.4109042553191493</v>
      </c>
      <c r="S10" s="16"/>
      <c r="T10" s="16">
        <f>N13</f>
        <v>1.8257978723404256</v>
      </c>
      <c r="U10" s="16">
        <f>N22</f>
        <v>1.7247340425531914</v>
      </c>
      <c r="V10" s="16">
        <f t="shared" si="6"/>
        <v>18257.978723404256</v>
      </c>
      <c r="W10" s="16">
        <f t="shared" si="7"/>
        <v>17247.340425531915</v>
      </c>
      <c r="AF10" s="23" t="s">
        <v>11</v>
      </c>
      <c r="AG10" s="23">
        <v>3</v>
      </c>
      <c r="AH10" s="23">
        <v>6.2393617021276597</v>
      </c>
      <c r="AI10" s="23">
        <v>2.0797872340425534</v>
      </c>
      <c r="AJ10" s="23">
        <v>1.8898186396559442E-2</v>
      </c>
    </row>
    <row r="11" spans="1:38">
      <c r="A11" s="9" t="s">
        <v>101</v>
      </c>
      <c r="B11" s="9" t="s">
        <v>102</v>
      </c>
      <c r="C11" s="14">
        <v>1</v>
      </c>
      <c r="D11" s="14">
        <v>1</v>
      </c>
      <c r="E11" s="14">
        <v>500</v>
      </c>
      <c r="F11" s="14" t="s">
        <v>84</v>
      </c>
      <c r="G11" s="14">
        <v>75.2</v>
      </c>
      <c r="H11" s="10">
        <v>1043</v>
      </c>
      <c r="I11" s="15">
        <f t="shared" si="0"/>
        <v>1.386968085106383</v>
      </c>
      <c r="J11" s="10" t="s">
        <v>102</v>
      </c>
      <c r="L11" s="12"/>
      <c r="M11" t="s">
        <v>252</v>
      </c>
      <c r="N11" s="16">
        <f t="shared" si="1"/>
        <v>1.6396276595744679</v>
      </c>
      <c r="O11" s="16">
        <f t="shared" si="2"/>
        <v>1.5824468085106382</v>
      </c>
      <c r="P11" s="16">
        <f t="shared" si="3"/>
        <v>5.2938829787234045</v>
      </c>
      <c r="Q11" s="16">
        <f t="shared" si="4"/>
        <v>6.3976063829787231</v>
      </c>
      <c r="R11" s="16">
        <f t="shared" si="5"/>
        <v>4.7579787234042552</v>
      </c>
      <c r="S11" s="16"/>
      <c r="T11" s="16">
        <f>N14</f>
        <v>1.5784574468085106</v>
      </c>
      <c r="U11" s="16">
        <f>N23</f>
        <v>1.9228723404255317</v>
      </c>
      <c r="V11" s="16">
        <f t="shared" si="6"/>
        <v>15784.574468085106</v>
      </c>
      <c r="W11" s="16">
        <f t="shared" si="7"/>
        <v>19228.723404255317</v>
      </c>
      <c r="Z11" t="str">
        <f>Z6</f>
        <v>SW+L</v>
      </c>
      <c r="AA11" s="12" t="str">
        <f>AA6</f>
        <v>SW+N</v>
      </c>
      <c r="AB11" s="12" t="str">
        <f>AB6</f>
        <v>SW</v>
      </c>
      <c r="AF11" s="23" t="s">
        <v>14</v>
      </c>
      <c r="AG11" s="23">
        <v>3</v>
      </c>
      <c r="AH11" s="23">
        <v>11.324468085106384</v>
      </c>
      <c r="AI11" s="23">
        <v>3.7748226950354611</v>
      </c>
      <c r="AJ11" s="23">
        <v>1.9965629479779672</v>
      </c>
    </row>
    <row r="12" spans="1:38" ht="15.75" thickBot="1">
      <c r="A12" s="9" t="s">
        <v>103</v>
      </c>
      <c r="B12" s="9" t="s">
        <v>104</v>
      </c>
      <c r="C12" s="14">
        <v>1</v>
      </c>
      <c r="D12" s="14">
        <v>1</v>
      </c>
      <c r="E12" s="14">
        <v>500</v>
      </c>
      <c r="F12" s="14" t="s">
        <v>84</v>
      </c>
      <c r="G12" s="14">
        <v>75.2</v>
      </c>
      <c r="H12" s="10">
        <v>1059</v>
      </c>
      <c r="I12" s="15">
        <f t="shared" si="0"/>
        <v>1.4082446808510638</v>
      </c>
      <c r="J12" s="10" t="s">
        <v>104</v>
      </c>
      <c r="L12" s="12"/>
      <c r="M12" t="s">
        <v>253</v>
      </c>
      <c r="N12" s="16">
        <f t="shared" si="1"/>
        <v>1.636968085106383</v>
      </c>
      <c r="O12" s="16">
        <f t="shared" si="2"/>
        <v>1.386968085106383</v>
      </c>
      <c r="P12" s="16">
        <f t="shared" si="3"/>
        <v>3.2101063829787231</v>
      </c>
      <c r="Q12" s="16">
        <f t="shared" si="4"/>
        <v>3.792553191489362</v>
      </c>
      <c r="R12" s="16">
        <f t="shared" si="5"/>
        <v>2.1555851063829792</v>
      </c>
      <c r="S12" s="16"/>
      <c r="T12" s="16">
        <f>N15</f>
        <v>1.5704787234042552</v>
      </c>
      <c r="U12" s="16">
        <f>N24</f>
        <v>1.9827127659574468</v>
      </c>
      <c r="V12" s="16">
        <f t="shared" si="6"/>
        <v>15704.787234042553</v>
      </c>
      <c r="W12" s="16">
        <f t="shared" si="7"/>
        <v>19827.127659574468</v>
      </c>
      <c r="X12" t="s">
        <v>16</v>
      </c>
      <c r="Y12" t="s">
        <v>468</v>
      </c>
      <c r="Z12" s="16">
        <f>R16</f>
        <v>-0.42287234042553212</v>
      </c>
      <c r="AA12" s="16">
        <f>R19</f>
        <v>0.45345744680851041</v>
      </c>
      <c r="AB12" s="16">
        <f>R22</f>
        <v>0.11968085106382964</v>
      </c>
      <c r="AF12" s="24" t="s">
        <v>15</v>
      </c>
      <c r="AG12" s="24">
        <v>3</v>
      </c>
      <c r="AH12" s="24">
        <v>4.1489361702127656</v>
      </c>
      <c r="AI12" s="24">
        <v>1.3829787234042552</v>
      </c>
      <c r="AJ12" s="24">
        <v>0.5805953627206879</v>
      </c>
    </row>
    <row r="13" spans="1:38">
      <c r="A13" s="9" t="s">
        <v>105</v>
      </c>
      <c r="B13" s="9" t="s">
        <v>106</v>
      </c>
      <c r="C13" s="14">
        <v>1</v>
      </c>
      <c r="D13" s="14">
        <v>1</v>
      </c>
      <c r="E13" s="14">
        <v>500</v>
      </c>
      <c r="F13" s="14" t="s">
        <v>84</v>
      </c>
      <c r="G13" s="14">
        <v>75.2</v>
      </c>
      <c r="H13" s="10">
        <v>1086</v>
      </c>
      <c r="I13" s="15">
        <f t="shared" si="0"/>
        <v>1.4441489361702127</v>
      </c>
      <c r="J13" s="10" t="s">
        <v>106</v>
      </c>
      <c r="L13" s="12"/>
      <c r="M13" t="s">
        <v>254</v>
      </c>
      <c r="N13" s="16">
        <f t="shared" si="1"/>
        <v>1.8257978723404256</v>
      </c>
      <c r="O13" s="16">
        <f t="shared" si="2"/>
        <v>1.4082446808510638</v>
      </c>
      <c r="P13" s="16">
        <f t="shared" si="3"/>
        <v>3.4375</v>
      </c>
      <c r="Q13" s="16">
        <f t="shared" si="4"/>
        <v>3.9707446808510634</v>
      </c>
      <c r="R13" s="16">
        <f t="shared" si="5"/>
        <v>2.144946808510638</v>
      </c>
      <c r="S13" s="16"/>
      <c r="T13" s="16">
        <f>O7</f>
        <v>1.5757978723404253</v>
      </c>
      <c r="U13" s="16">
        <f>O16</f>
        <v>1.7220744680851066</v>
      </c>
      <c r="V13" s="16">
        <f t="shared" si="6"/>
        <v>15757.978723404254</v>
      </c>
      <c r="W13" s="16">
        <f t="shared" si="7"/>
        <v>17220.744680851065</v>
      </c>
      <c r="Y13" t="s">
        <v>469</v>
      </c>
      <c r="Z13" s="16">
        <f>R17</f>
        <v>1.2938829787234039</v>
      </c>
      <c r="AA13" s="16">
        <f>R20</f>
        <v>-0.11702127659574479</v>
      </c>
      <c r="AB13" s="16">
        <f>R23</f>
        <v>-6.1170212765957244E-2</v>
      </c>
    </row>
    <row r="14" spans="1:38">
      <c r="A14" s="9" t="s">
        <v>107</v>
      </c>
      <c r="B14" s="9" t="s">
        <v>108</v>
      </c>
      <c r="C14" s="14">
        <v>1</v>
      </c>
      <c r="D14" s="14">
        <v>1</v>
      </c>
      <c r="E14" s="14">
        <v>500</v>
      </c>
      <c r="F14" s="14" t="s">
        <v>84</v>
      </c>
      <c r="G14" s="14">
        <v>75.2</v>
      </c>
      <c r="H14" s="10">
        <v>1089</v>
      </c>
      <c r="I14" s="15">
        <f t="shared" si="0"/>
        <v>1.4481382978723405</v>
      </c>
      <c r="J14" s="10" t="s">
        <v>108</v>
      </c>
      <c r="L14" s="12"/>
      <c r="M14" t="s">
        <v>255</v>
      </c>
      <c r="N14" s="16">
        <f t="shared" si="1"/>
        <v>1.5784574468085106</v>
      </c>
      <c r="O14" s="16">
        <f t="shared" si="2"/>
        <v>1.4441489361702127</v>
      </c>
      <c r="P14" s="16">
        <f t="shared" si="3"/>
        <v>2.2752659574468086</v>
      </c>
      <c r="Q14" s="16">
        <f t="shared" si="4"/>
        <v>2.9614361702127661</v>
      </c>
      <c r="R14" s="16">
        <f t="shared" si="5"/>
        <v>1.3829787234042554</v>
      </c>
      <c r="S14" s="16"/>
      <c r="T14" s="16">
        <f>O8</f>
        <v>1.6289893617021276</v>
      </c>
      <c r="U14" s="16">
        <f>O17</f>
        <v>1.9441489361702127</v>
      </c>
      <c r="V14" s="16">
        <f t="shared" si="6"/>
        <v>16289.893617021276</v>
      </c>
      <c r="W14" s="16">
        <f t="shared" si="7"/>
        <v>19441.489361702126</v>
      </c>
      <c r="Y14" t="s">
        <v>470</v>
      </c>
      <c r="Z14" s="16">
        <f>R18</f>
        <v>2.1223404255319145</v>
      </c>
      <c r="AA14" s="16">
        <f>R21</f>
        <v>-1.0159574468085106</v>
      </c>
      <c r="AB14" s="16">
        <f>R24</f>
        <v>-0.2752659574468086</v>
      </c>
    </row>
    <row r="15" spans="1:38" ht="15.75" thickBot="1">
      <c r="A15" s="9" t="s">
        <v>109</v>
      </c>
      <c r="B15" s="9" t="s">
        <v>110</v>
      </c>
      <c r="C15" s="14">
        <v>1</v>
      </c>
      <c r="D15" s="14">
        <v>1</v>
      </c>
      <c r="E15" s="14">
        <v>500</v>
      </c>
      <c r="F15" s="14" t="s">
        <v>84</v>
      </c>
      <c r="G15" s="14">
        <v>75.2</v>
      </c>
      <c r="H15" s="10">
        <v>1295</v>
      </c>
      <c r="I15" s="15">
        <f t="shared" si="0"/>
        <v>1.7220744680851066</v>
      </c>
      <c r="J15" s="10" t="s">
        <v>110</v>
      </c>
      <c r="L15" s="12"/>
      <c r="M15" t="s">
        <v>256</v>
      </c>
      <c r="N15" s="16">
        <f t="shared" si="1"/>
        <v>1.5704787234042552</v>
      </c>
      <c r="O15" s="16">
        <f t="shared" si="2"/>
        <v>1.4481382978723405</v>
      </c>
      <c r="P15" s="16">
        <f t="shared" si="3"/>
        <v>1.7632978723404256</v>
      </c>
      <c r="Q15" s="16">
        <f t="shared" si="4"/>
        <v>2.1914893617021276</v>
      </c>
      <c r="R15" s="16">
        <f t="shared" si="5"/>
        <v>0.6210106382978724</v>
      </c>
      <c r="S15" s="16"/>
      <c r="T15" s="16">
        <f>O9</f>
        <v>1.6289893617021276</v>
      </c>
      <c r="U15" s="16">
        <f>O18</f>
        <v>2.2513297872340421</v>
      </c>
      <c r="V15" s="16">
        <f t="shared" si="6"/>
        <v>16289.893617021276</v>
      </c>
      <c r="W15" s="16">
        <f t="shared" si="7"/>
        <v>22513.297872340419</v>
      </c>
      <c r="AF15" t="s">
        <v>477</v>
      </c>
    </row>
    <row r="16" spans="1:38">
      <c r="A16" s="9" t="s">
        <v>111</v>
      </c>
      <c r="B16" s="9" t="s">
        <v>112</v>
      </c>
      <c r="C16" s="14">
        <v>1</v>
      </c>
      <c r="D16" s="14">
        <v>1</v>
      </c>
      <c r="E16" s="14">
        <v>500</v>
      </c>
      <c r="F16" s="14" t="s">
        <v>84</v>
      </c>
      <c r="G16" s="14">
        <v>75.2</v>
      </c>
      <c r="H16" s="10">
        <v>1462</v>
      </c>
      <c r="I16" s="15">
        <f t="shared" si="0"/>
        <v>1.9441489361702127</v>
      </c>
      <c r="J16" s="10" t="s">
        <v>112</v>
      </c>
      <c r="L16" s="12"/>
      <c r="M16" t="s">
        <v>257</v>
      </c>
      <c r="N16" s="16">
        <f t="shared" si="1"/>
        <v>1.8803191489361704</v>
      </c>
      <c r="O16" s="16">
        <f t="shared" si="2"/>
        <v>1.7220744680851066</v>
      </c>
      <c r="P16" s="16">
        <f t="shared" si="3"/>
        <v>1.5465425531914891</v>
      </c>
      <c r="Q16" s="16">
        <f t="shared" si="4"/>
        <v>1.4574468085106382</v>
      </c>
      <c r="R16" s="16">
        <f t="shared" si="5"/>
        <v>-0.42287234042553212</v>
      </c>
      <c r="S16" s="16"/>
      <c r="T16" s="16">
        <f>O13</f>
        <v>1.4082446808510638</v>
      </c>
      <c r="U16" s="16">
        <f>O22</f>
        <v>1.9242021276595744</v>
      </c>
      <c r="V16" s="16">
        <f t="shared" si="6"/>
        <v>14082.446808510638</v>
      </c>
      <c r="W16" s="16">
        <f t="shared" si="7"/>
        <v>19242.021276595744</v>
      </c>
      <c r="AF16" s="25" t="s">
        <v>478</v>
      </c>
      <c r="AG16" s="25" t="s">
        <v>479</v>
      </c>
      <c r="AH16" s="25" t="s">
        <v>480</v>
      </c>
      <c r="AI16" s="25" t="s">
        <v>481</v>
      </c>
      <c r="AJ16" s="25" t="s">
        <v>482</v>
      </c>
      <c r="AK16" s="25" t="s">
        <v>483</v>
      </c>
      <c r="AL16" s="25" t="s">
        <v>484</v>
      </c>
    </row>
    <row r="17" spans="1:38">
      <c r="A17" s="9" t="s">
        <v>113</v>
      </c>
      <c r="B17" s="9" t="s">
        <v>114</v>
      </c>
      <c r="C17" s="14">
        <v>1</v>
      </c>
      <c r="D17" s="14">
        <v>1</v>
      </c>
      <c r="E17" s="14">
        <v>500</v>
      </c>
      <c r="F17" s="14" t="s">
        <v>84</v>
      </c>
      <c r="G17" s="14">
        <v>75.2</v>
      </c>
      <c r="H17" s="10">
        <v>1693</v>
      </c>
      <c r="I17" s="15">
        <f t="shared" si="0"/>
        <v>2.2513297872340421</v>
      </c>
      <c r="J17" s="10" t="s">
        <v>114</v>
      </c>
      <c r="L17" s="12"/>
      <c r="M17" t="s">
        <v>258</v>
      </c>
      <c r="N17" s="16">
        <f t="shared" si="1"/>
        <v>1.7553191489361704</v>
      </c>
      <c r="O17" s="16">
        <f t="shared" si="2"/>
        <v>1.9441489361702127</v>
      </c>
      <c r="P17" s="16">
        <f t="shared" si="3"/>
        <v>2.5252659574468086</v>
      </c>
      <c r="Q17" s="16">
        <f t="shared" si="4"/>
        <v>3.0492021276595742</v>
      </c>
      <c r="R17" s="16">
        <f t="shared" si="5"/>
        <v>1.2938829787234039</v>
      </c>
      <c r="S17" s="16"/>
      <c r="T17" s="16">
        <f>O14</f>
        <v>1.4441489361702127</v>
      </c>
      <c r="U17" s="16">
        <f>O23</f>
        <v>1.9547872340425532</v>
      </c>
      <c r="V17" s="16">
        <f t="shared" si="6"/>
        <v>14441.489361702126</v>
      </c>
      <c r="W17" s="16">
        <f t="shared" si="7"/>
        <v>19547.872340425532</v>
      </c>
      <c r="AF17" s="23" t="s">
        <v>485</v>
      </c>
      <c r="AG17" s="23">
        <v>9.0796048991499454</v>
      </c>
      <c r="AH17" s="23">
        <v>2</v>
      </c>
      <c r="AI17" s="23">
        <v>4.5398024495749727</v>
      </c>
      <c r="AJ17" s="23">
        <v>5.2461906603203632</v>
      </c>
      <c r="AK17" s="23">
        <v>4.815081566950577E-2</v>
      </c>
      <c r="AL17" s="23">
        <v>5.1432528497847176</v>
      </c>
    </row>
    <row r="18" spans="1:38">
      <c r="A18" s="9" t="s">
        <v>115</v>
      </c>
      <c r="B18" s="9" t="s">
        <v>116</v>
      </c>
      <c r="C18" s="14">
        <v>1</v>
      </c>
      <c r="D18" s="14">
        <v>1</v>
      </c>
      <c r="E18" s="14">
        <v>500</v>
      </c>
      <c r="F18" s="14" t="s">
        <v>84</v>
      </c>
      <c r="G18" s="14">
        <v>75.2</v>
      </c>
      <c r="H18" s="10">
        <v>1306</v>
      </c>
      <c r="I18" s="15">
        <f t="shared" si="0"/>
        <v>1.7367021276595744</v>
      </c>
      <c r="J18" s="10" t="s">
        <v>116</v>
      </c>
      <c r="L18" s="12"/>
      <c r="M18" t="s">
        <v>259</v>
      </c>
      <c r="N18" s="16">
        <f t="shared" si="1"/>
        <v>2.0319148936170213</v>
      </c>
      <c r="O18" s="16">
        <f t="shared" si="2"/>
        <v>2.2513297872340421</v>
      </c>
      <c r="P18" s="16">
        <f t="shared" si="3"/>
        <v>3.4640957446808511</v>
      </c>
      <c r="Q18" s="16">
        <f t="shared" si="4"/>
        <v>4.1542553191489358</v>
      </c>
      <c r="R18" s="16">
        <f t="shared" si="5"/>
        <v>2.1223404255319145</v>
      </c>
      <c r="S18" s="16"/>
      <c r="T18" s="16">
        <f>O15</f>
        <v>1.4481382978723405</v>
      </c>
      <c r="U18" s="16">
        <f>O24</f>
        <v>1.9414893617021276</v>
      </c>
      <c r="V18" s="16">
        <f t="shared" si="6"/>
        <v>14481.382978723404</v>
      </c>
      <c r="W18" s="16">
        <f t="shared" si="7"/>
        <v>19414.893617021276</v>
      </c>
      <c r="AF18" s="23" t="s">
        <v>486</v>
      </c>
      <c r="AG18" s="23">
        <v>5.1921129941904312</v>
      </c>
      <c r="AH18" s="23">
        <v>6</v>
      </c>
      <c r="AI18" s="23">
        <v>0.86535216569840523</v>
      </c>
      <c r="AJ18" s="23"/>
      <c r="AK18" s="23"/>
      <c r="AL18" s="23"/>
    </row>
    <row r="19" spans="1:38">
      <c r="A19" s="9" t="s">
        <v>117</v>
      </c>
      <c r="B19" s="9" t="s">
        <v>118</v>
      </c>
      <c r="C19" s="14">
        <v>1</v>
      </c>
      <c r="D19" s="14">
        <v>1</v>
      </c>
      <c r="E19" s="14">
        <v>500</v>
      </c>
      <c r="F19" s="14" t="s">
        <v>84</v>
      </c>
      <c r="G19" s="14">
        <v>75.2</v>
      </c>
      <c r="H19" s="10">
        <v>1257</v>
      </c>
      <c r="I19" s="15">
        <f t="shared" si="0"/>
        <v>1.6715425531914894</v>
      </c>
      <c r="J19" s="10" t="s">
        <v>118</v>
      </c>
      <c r="L19" s="12"/>
      <c r="M19" t="s">
        <v>260</v>
      </c>
      <c r="N19" s="16">
        <f t="shared" si="1"/>
        <v>1.8776595744680851</v>
      </c>
      <c r="O19" s="16">
        <f t="shared" si="2"/>
        <v>1.7367021276595744</v>
      </c>
      <c r="P19" s="16">
        <f t="shared" si="3"/>
        <v>2.0904255319148937</v>
      </c>
      <c r="Q19" s="16">
        <f t="shared" si="4"/>
        <v>2.3311170212765955</v>
      </c>
      <c r="R19" s="16">
        <f t="shared" si="5"/>
        <v>0.45345744680851041</v>
      </c>
      <c r="S19" s="16"/>
      <c r="T19" s="16">
        <f>P7</f>
        <v>3.0917553191489362</v>
      </c>
      <c r="U19" s="16">
        <f>P16</f>
        <v>1.5465425531914891</v>
      </c>
      <c r="V19" s="16">
        <f t="shared" si="6"/>
        <v>30917.553191489362</v>
      </c>
      <c r="W19" s="16">
        <f t="shared" si="7"/>
        <v>15465.425531914891</v>
      </c>
      <c r="AF19" s="23"/>
      <c r="AG19" s="23"/>
      <c r="AH19" s="23"/>
      <c r="AI19" s="23"/>
      <c r="AJ19" s="23"/>
      <c r="AK19" s="23"/>
      <c r="AL19" s="23"/>
    </row>
    <row r="20" spans="1:38" ht="15.75" thickBot="1">
      <c r="A20" s="9" t="s">
        <v>119</v>
      </c>
      <c r="B20" s="9" t="s">
        <v>120</v>
      </c>
      <c r="C20" s="14">
        <v>1</v>
      </c>
      <c r="D20" s="14">
        <v>1</v>
      </c>
      <c r="E20" s="14">
        <v>500</v>
      </c>
      <c r="F20" s="14" t="s">
        <v>84</v>
      </c>
      <c r="G20" s="14">
        <v>75.2</v>
      </c>
      <c r="H20" s="10">
        <v>1558</v>
      </c>
      <c r="I20" s="15">
        <f t="shared" si="0"/>
        <v>2.0718085106382977</v>
      </c>
      <c r="J20" s="10" t="s">
        <v>120</v>
      </c>
      <c r="L20" s="12"/>
      <c r="M20" t="s">
        <v>261</v>
      </c>
      <c r="N20" s="16">
        <f t="shared" si="1"/>
        <v>1.8417553191489362</v>
      </c>
      <c r="O20" s="16">
        <f t="shared" si="2"/>
        <v>1.6715425531914894</v>
      </c>
      <c r="P20" s="16">
        <f t="shared" si="3"/>
        <v>1.8351063829787233</v>
      </c>
      <c r="Q20" s="16">
        <f t="shared" si="4"/>
        <v>1.7247340425531914</v>
      </c>
      <c r="R20" s="16">
        <f t="shared" si="5"/>
        <v>-0.11702127659574479</v>
      </c>
      <c r="S20" s="16"/>
      <c r="T20" s="16">
        <f>P8</f>
        <v>3.269946808510638</v>
      </c>
      <c r="U20" s="16">
        <f>P17</f>
        <v>2.5252659574468086</v>
      </c>
      <c r="V20" s="16">
        <f t="shared" si="6"/>
        <v>32699.468085106379</v>
      </c>
      <c r="W20" s="16">
        <f t="shared" si="7"/>
        <v>25252.659574468085</v>
      </c>
      <c r="AF20" s="24" t="s">
        <v>487</v>
      </c>
      <c r="AG20" s="24">
        <v>14.271717893340377</v>
      </c>
      <c r="AH20" s="24">
        <v>8</v>
      </c>
      <c r="AI20" s="24"/>
      <c r="AJ20" s="24"/>
      <c r="AK20" s="24"/>
      <c r="AL20" s="24"/>
    </row>
    <row r="21" spans="1:38">
      <c r="A21" s="9" t="s">
        <v>121</v>
      </c>
      <c r="B21" s="9" t="s">
        <v>122</v>
      </c>
      <c r="C21" s="14">
        <v>1</v>
      </c>
      <c r="D21" s="14">
        <v>1</v>
      </c>
      <c r="E21" s="14">
        <v>500</v>
      </c>
      <c r="F21" s="14" t="s">
        <v>84</v>
      </c>
      <c r="G21" s="14">
        <v>75.2</v>
      </c>
      <c r="H21" s="10">
        <v>1447</v>
      </c>
      <c r="I21" s="15">
        <f t="shared" si="0"/>
        <v>1.9242021276595744</v>
      </c>
      <c r="J21" s="10" t="s">
        <v>122</v>
      </c>
      <c r="L21" s="12"/>
      <c r="M21" t="s">
        <v>262</v>
      </c>
      <c r="N21" s="16">
        <f t="shared" si="1"/>
        <v>1.988031914893617</v>
      </c>
      <c r="O21" s="16">
        <f t="shared" si="2"/>
        <v>2.0718085106382977</v>
      </c>
      <c r="P21" s="16">
        <f t="shared" si="3"/>
        <v>1.3949468085106382</v>
      </c>
      <c r="Q21" s="16">
        <f t="shared" si="4"/>
        <v>0.97207446808510634</v>
      </c>
      <c r="R21" s="16">
        <f t="shared" si="5"/>
        <v>-1.0159574468085106</v>
      </c>
      <c r="S21" s="16"/>
      <c r="T21" s="16">
        <f>P9</f>
        <v>3.1436170212765955</v>
      </c>
      <c r="U21" s="16">
        <f>P18</f>
        <v>3.4640957446808511</v>
      </c>
      <c r="V21" s="16">
        <f t="shared" si="6"/>
        <v>31436.170212765956</v>
      </c>
      <c r="W21" s="16">
        <f t="shared" si="7"/>
        <v>34640.957446808512</v>
      </c>
    </row>
    <row r="22" spans="1:38">
      <c r="A22" s="9" t="s">
        <v>123</v>
      </c>
      <c r="B22" s="9" t="s">
        <v>124</v>
      </c>
      <c r="C22" s="14">
        <v>1</v>
      </c>
      <c r="D22" s="14">
        <v>1</v>
      </c>
      <c r="E22" s="14">
        <v>500</v>
      </c>
      <c r="F22" s="14" t="s">
        <v>84</v>
      </c>
      <c r="G22" s="14">
        <v>75.2</v>
      </c>
      <c r="H22" s="10">
        <v>1470</v>
      </c>
      <c r="I22" s="15">
        <f t="shared" si="0"/>
        <v>1.9547872340425532</v>
      </c>
      <c r="J22" s="10" t="s">
        <v>124</v>
      </c>
      <c r="L22" s="12"/>
      <c r="M22" t="s">
        <v>263</v>
      </c>
      <c r="N22" s="16">
        <f t="shared" si="1"/>
        <v>1.7247340425531914</v>
      </c>
      <c r="O22" s="16">
        <f t="shared" si="2"/>
        <v>1.9242021276595744</v>
      </c>
      <c r="P22" s="16">
        <f t="shared" si="3"/>
        <v>2.0771276595744679</v>
      </c>
      <c r="Q22" s="16">
        <f t="shared" si="4"/>
        <v>1.844414893617021</v>
      </c>
      <c r="R22" s="16">
        <f t="shared" si="5"/>
        <v>0.11968085106382964</v>
      </c>
      <c r="S22" s="16"/>
      <c r="T22" s="16">
        <f>P13</f>
        <v>3.4375</v>
      </c>
      <c r="U22" s="16">
        <f>P22</f>
        <v>2.0771276595744679</v>
      </c>
      <c r="V22" s="16">
        <f t="shared" si="6"/>
        <v>34375</v>
      </c>
      <c r="W22" s="16">
        <f t="shared" si="7"/>
        <v>20771.276595744679</v>
      </c>
      <c r="AF22" t="s">
        <v>16</v>
      </c>
    </row>
    <row r="23" spans="1:38">
      <c r="A23" s="9" t="s">
        <v>125</v>
      </c>
      <c r="B23" s="9" t="s">
        <v>126</v>
      </c>
      <c r="C23" s="14">
        <v>1</v>
      </c>
      <c r="D23" s="14">
        <v>1</v>
      </c>
      <c r="E23" s="14">
        <v>500</v>
      </c>
      <c r="F23" s="14" t="s">
        <v>84</v>
      </c>
      <c r="G23" s="14">
        <v>75.2</v>
      </c>
      <c r="H23" s="10">
        <v>1460</v>
      </c>
      <c r="I23" s="15">
        <f t="shared" si="0"/>
        <v>1.9414893617021276</v>
      </c>
      <c r="J23" s="10" t="s">
        <v>126</v>
      </c>
      <c r="L23" s="12"/>
      <c r="M23" t="s">
        <v>264</v>
      </c>
      <c r="N23" s="16">
        <f t="shared" si="1"/>
        <v>1.9228723404255317</v>
      </c>
      <c r="O23" s="16">
        <f t="shared" si="2"/>
        <v>1.9547872340425532</v>
      </c>
      <c r="P23" s="16">
        <f t="shared" si="3"/>
        <v>1.8949468085106382</v>
      </c>
      <c r="Q23" s="16">
        <f t="shared" si="4"/>
        <v>1.8617021276595744</v>
      </c>
      <c r="R23" s="16">
        <f t="shared" si="5"/>
        <v>-6.1170212765957244E-2</v>
      </c>
      <c r="S23" s="16"/>
      <c r="T23" s="16">
        <f>P14</f>
        <v>2.2752659574468086</v>
      </c>
      <c r="U23" s="16">
        <f>P23</f>
        <v>1.8949468085106382</v>
      </c>
      <c r="V23" s="16">
        <f t="shared" si="6"/>
        <v>22752.659574468085</v>
      </c>
      <c r="W23" s="16">
        <f t="shared" si="7"/>
        <v>18949.468085106382</v>
      </c>
      <c r="AF23" t="s">
        <v>471</v>
      </c>
    </row>
    <row r="24" spans="1:38">
      <c r="A24" s="9" t="s">
        <v>127</v>
      </c>
      <c r="B24" s="9" t="s">
        <v>128</v>
      </c>
      <c r="C24" s="14">
        <v>1</v>
      </c>
      <c r="D24" s="14">
        <v>1</v>
      </c>
      <c r="E24" s="14">
        <v>500</v>
      </c>
      <c r="F24" s="14" t="s">
        <v>84</v>
      </c>
      <c r="G24" s="14">
        <v>75.2</v>
      </c>
      <c r="H24" s="10">
        <v>1317</v>
      </c>
      <c r="I24" s="15">
        <f t="shared" si="0"/>
        <v>1.7513297872340423</v>
      </c>
      <c r="J24" s="10" t="s">
        <v>128</v>
      </c>
      <c r="L24" s="12"/>
      <c r="M24" t="s">
        <v>265</v>
      </c>
      <c r="N24" s="16">
        <f t="shared" si="1"/>
        <v>1.9827127659574468</v>
      </c>
      <c r="O24" s="16">
        <f t="shared" si="2"/>
        <v>1.9414893617021276</v>
      </c>
      <c r="P24" s="16">
        <f t="shared" si="3"/>
        <v>1.8071808510638296</v>
      </c>
      <c r="Q24" s="16">
        <f t="shared" si="4"/>
        <v>1.7074468085106382</v>
      </c>
      <c r="R24" s="16">
        <f t="shared" si="5"/>
        <v>-0.2752659574468086</v>
      </c>
      <c r="S24" s="16"/>
      <c r="T24" s="16">
        <f>P15</f>
        <v>1.7632978723404256</v>
      </c>
      <c r="U24" s="16">
        <f>P24</f>
        <v>1.8071808510638296</v>
      </c>
      <c r="V24" s="16">
        <f t="shared" si="6"/>
        <v>17632.978723404256</v>
      </c>
      <c r="W24" s="16">
        <f t="shared" si="7"/>
        <v>18071.808510638297</v>
      </c>
    </row>
    <row r="25" spans="1:38" ht="15.75" thickBot="1">
      <c r="A25" s="9" t="s">
        <v>129</v>
      </c>
      <c r="B25" s="9" t="s">
        <v>130</v>
      </c>
      <c r="C25" s="14">
        <v>1</v>
      </c>
      <c r="D25" s="14">
        <v>1</v>
      </c>
      <c r="E25" s="14">
        <v>500</v>
      </c>
      <c r="F25" s="14" t="s">
        <v>84</v>
      </c>
      <c r="G25" s="14">
        <v>75.2</v>
      </c>
      <c r="H25" s="10">
        <v>1317</v>
      </c>
      <c r="I25" s="15">
        <f t="shared" si="0"/>
        <v>1.7513297872340423</v>
      </c>
      <c r="J25" s="10" t="s">
        <v>130</v>
      </c>
      <c r="T25" s="16">
        <f>Q7</f>
        <v>3.6755319148936172</v>
      </c>
      <c r="U25" s="16">
        <f>Q16</f>
        <v>1.4574468085106382</v>
      </c>
      <c r="V25" s="16">
        <f t="shared" si="6"/>
        <v>36755.319148936171</v>
      </c>
      <c r="W25" s="16">
        <f t="shared" si="7"/>
        <v>14574.468085106382</v>
      </c>
      <c r="AF25" t="s">
        <v>472</v>
      </c>
    </row>
    <row r="26" spans="1:38">
      <c r="A26" s="9" t="s">
        <v>131</v>
      </c>
      <c r="B26" s="9" t="s">
        <v>132</v>
      </c>
      <c r="C26" s="14">
        <v>1</v>
      </c>
      <c r="D26" s="14">
        <v>1</v>
      </c>
      <c r="E26" s="14">
        <v>500</v>
      </c>
      <c r="F26" s="14" t="s">
        <v>84</v>
      </c>
      <c r="G26" s="14">
        <v>75.2</v>
      </c>
      <c r="H26" s="10">
        <v>1310</v>
      </c>
      <c r="I26" s="15">
        <f t="shared" si="0"/>
        <v>1.7420212765957448</v>
      </c>
      <c r="J26" s="10" t="s">
        <v>132</v>
      </c>
      <c r="T26" s="16">
        <f>Q8</f>
        <v>3.936170212765957</v>
      </c>
      <c r="U26" s="16">
        <f>Q17</f>
        <v>3.0492021276595742</v>
      </c>
      <c r="V26" s="16">
        <f t="shared" si="6"/>
        <v>39361.70212765957</v>
      </c>
      <c r="W26" s="16">
        <f t="shared" si="7"/>
        <v>30492.02127659574</v>
      </c>
      <c r="AF26" s="25" t="s">
        <v>473</v>
      </c>
      <c r="AG26" s="25" t="s">
        <v>474</v>
      </c>
      <c r="AH26" s="25" t="s">
        <v>475</v>
      </c>
      <c r="AI26" s="25" t="s">
        <v>23</v>
      </c>
      <c r="AJ26" s="25" t="s">
        <v>476</v>
      </c>
    </row>
    <row r="27" spans="1:38">
      <c r="A27" s="9" t="s">
        <v>133</v>
      </c>
      <c r="B27" s="9" t="s">
        <v>134</v>
      </c>
      <c r="C27" s="14">
        <v>1</v>
      </c>
      <c r="D27" s="14">
        <v>1</v>
      </c>
      <c r="E27" s="14">
        <v>500</v>
      </c>
      <c r="F27" s="14" t="s">
        <v>84</v>
      </c>
      <c r="G27" s="14">
        <v>75.2</v>
      </c>
      <c r="H27" s="10">
        <v>1210</v>
      </c>
      <c r="I27" s="15">
        <f t="shared" si="0"/>
        <v>1.6090425531914891</v>
      </c>
      <c r="J27" s="10" t="s">
        <v>134</v>
      </c>
      <c r="N27">
        <f>N6</f>
        <v>0</v>
      </c>
      <c r="O27" s="12">
        <f>O6</f>
        <v>6.5</v>
      </c>
      <c r="P27" s="12">
        <f>P6</f>
        <v>19.5</v>
      </c>
      <c r="Q27" s="12">
        <f>Q6</f>
        <v>25.5</v>
      </c>
      <c r="R27" t="s">
        <v>70</v>
      </c>
      <c r="T27" s="16">
        <f>Q9</f>
        <v>3.8723404255319145</v>
      </c>
      <c r="U27" s="16">
        <f>Q18</f>
        <v>4.1542553191489358</v>
      </c>
      <c r="V27" s="16">
        <f t="shared" si="6"/>
        <v>38723.404255319147</v>
      </c>
      <c r="W27" s="16">
        <f t="shared" si="7"/>
        <v>41542.553191489358</v>
      </c>
      <c r="AF27" s="23" t="s">
        <v>11</v>
      </c>
      <c r="AG27" s="23">
        <v>3</v>
      </c>
      <c r="AH27" s="23">
        <v>2.9933510638297864</v>
      </c>
      <c r="AI27" s="23">
        <v>0.99778368794326211</v>
      </c>
      <c r="AJ27" s="23">
        <v>1.6852830984985658</v>
      </c>
    </row>
    <row r="28" spans="1:38">
      <c r="A28" s="9" t="s">
        <v>135</v>
      </c>
      <c r="B28" s="9" t="s">
        <v>136</v>
      </c>
      <c r="C28" s="14">
        <v>1</v>
      </c>
      <c r="D28" s="14">
        <v>1</v>
      </c>
      <c r="E28" s="14">
        <v>500</v>
      </c>
      <c r="F28" s="14" t="s">
        <v>84</v>
      </c>
      <c r="G28" s="14">
        <v>75.2</v>
      </c>
      <c r="H28" s="10">
        <v>1233</v>
      </c>
      <c r="I28" s="15">
        <f t="shared" si="0"/>
        <v>1.6396276595744679</v>
      </c>
      <c r="J28" s="10" t="s">
        <v>136</v>
      </c>
      <c r="L28" t="s">
        <v>10</v>
      </c>
      <c r="M28" t="s">
        <v>11</v>
      </c>
      <c r="N28" s="16">
        <f>AVERAGE(N7:N9)</f>
        <v>1.74822695035461</v>
      </c>
      <c r="O28" s="16">
        <f>AVERAGE(O7:O9)</f>
        <v>1.6112588652482269</v>
      </c>
      <c r="P28" s="16">
        <f>AVERAGE(P7:P9)</f>
        <v>3.1684397163120566</v>
      </c>
      <c r="Q28" s="16">
        <f>AVERAGE(Q7:Q9)</f>
        <v>3.8280141843971633</v>
      </c>
      <c r="R28" s="16">
        <f>AVERAGE(R7:R9)</f>
        <v>2.0797872340425534</v>
      </c>
      <c r="S28" s="16"/>
      <c r="T28" s="16">
        <f>Q13</f>
        <v>3.9707446808510634</v>
      </c>
      <c r="U28" s="16">
        <f>Q22</f>
        <v>1.844414893617021</v>
      </c>
      <c r="V28" s="16">
        <f t="shared" si="6"/>
        <v>39707.446808510635</v>
      </c>
      <c r="W28" s="16">
        <f t="shared" si="7"/>
        <v>18444.148936170212</v>
      </c>
      <c r="AF28" s="23" t="s">
        <v>14</v>
      </c>
      <c r="AG28" s="23">
        <v>3</v>
      </c>
      <c r="AH28" s="23">
        <v>-0.67952127659574502</v>
      </c>
      <c r="AI28" s="23">
        <v>-0.22650709219858167</v>
      </c>
      <c r="AJ28" s="23">
        <v>0.54878539025954409</v>
      </c>
    </row>
    <row r="29" spans="1:38" ht="15.75" thickBot="1">
      <c r="A29" s="9" t="s">
        <v>137</v>
      </c>
      <c r="B29" s="9" t="s">
        <v>138</v>
      </c>
      <c r="C29" s="14">
        <v>1</v>
      </c>
      <c r="D29" s="14">
        <v>1</v>
      </c>
      <c r="E29" s="14">
        <v>500</v>
      </c>
      <c r="F29" s="14" t="s">
        <v>84</v>
      </c>
      <c r="G29" s="14">
        <v>75.2</v>
      </c>
      <c r="H29" s="10">
        <v>1231</v>
      </c>
      <c r="I29" s="15">
        <f t="shared" si="0"/>
        <v>1.636968085106383</v>
      </c>
      <c r="J29" s="10" t="s">
        <v>138</v>
      </c>
      <c r="M29" t="s">
        <v>14</v>
      </c>
      <c r="N29" s="16">
        <f>AVERAGE(N10:N12)</f>
        <v>1.6285460992907801</v>
      </c>
      <c r="O29" s="16">
        <f>AVERAGE(O10:O12)</f>
        <v>1.5177304964539007</v>
      </c>
      <c r="P29" s="16">
        <f>AVERAGE(P10:P12)</f>
        <v>4.5146276595744679</v>
      </c>
      <c r="Q29" s="16">
        <f>AVERAGE(Q10:Q12)</f>
        <v>5.4033687943262407</v>
      </c>
      <c r="R29" s="16">
        <f>AVERAGE(R10:R12)</f>
        <v>3.7748226950354611</v>
      </c>
      <c r="S29" s="16"/>
      <c r="T29" s="16">
        <f>Q14</f>
        <v>2.9614361702127661</v>
      </c>
      <c r="U29" s="16">
        <f>Q23</f>
        <v>1.8617021276595744</v>
      </c>
      <c r="V29" s="16">
        <f t="shared" si="6"/>
        <v>29614.361702127662</v>
      </c>
      <c r="W29" s="16">
        <f t="shared" si="7"/>
        <v>18617.021276595744</v>
      </c>
      <c r="AF29" s="24" t="s">
        <v>15</v>
      </c>
      <c r="AG29" s="24">
        <v>3</v>
      </c>
      <c r="AH29" s="24">
        <v>-0.2167553191489362</v>
      </c>
      <c r="AI29" s="24">
        <v>-7.2251773049645404E-2</v>
      </c>
      <c r="AJ29" s="24">
        <v>3.9087846121925451E-2</v>
      </c>
    </row>
    <row r="30" spans="1:38">
      <c r="A30" s="9" t="s">
        <v>139</v>
      </c>
      <c r="B30" s="9" t="s">
        <v>140</v>
      </c>
      <c r="C30" s="14">
        <v>1</v>
      </c>
      <c r="D30" s="14">
        <v>1</v>
      </c>
      <c r="E30" s="14">
        <v>500</v>
      </c>
      <c r="F30" s="14" t="s">
        <v>84</v>
      </c>
      <c r="G30" s="14">
        <v>75.2</v>
      </c>
      <c r="H30" s="10">
        <v>1373</v>
      </c>
      <c r="I30" s="15">
        <f t="shared" si="0"/>
        <v>1.8257978723404256</v>
      </c>
      <c r="J30" s="10" t="s">
        <v>140</v>
      </c>
      <c r="M30" t="s">
        <v>15</v>
      </c>
      <c r="N30" s="16">
        <f>AVERAGE(N13:N15)</f>
        <v>1.6582446808510636</v>
      </c>
      <c r="O30" s="16">
        <f>AVERAGE(O13:O15)</f>
        <v>1.4335106382978724</v>
      </c>
      <c r="P30" s="16">
        <f>AVERAGE(P13:P15)</f>
        <v>2.4920212765957448</v>
      </c>
      <c r="Q30" s="16">
        <f>AVERAGE(Q13:Q15)</f>
        <v>3.0412234042553195</v>
      </c>
      <c r="R30" s="16">
        <f>AVERAGE(R13:R15)</f>
        <v>1.3829787234042552</v>
      </c>
      <c r="S30" s="16"/>
      <c r="T30" s="16">
        <f>Q15</f>
        <v>2.1914893617021276</v>
      </c>
      <c r="U30" s="16">
        <f>Q24</f>
        <v>1.7074468085106382</v>
      </c>
      <c r="V30" s="16">
        <f t="shared" si="6"/>
        <v>21914.893617021276</v>
      </c>
      <c r="W30" s="16">
        <f t="shared" si="7"/>
        <v>17074.468085106382</v>
      </c>
    </row>
    <row r="31" spans="1:38">
      <c r="A31" s="9" t="s">
        <v>141</v>
      </c>
      <c r="B31" s="9" t="s">
        <v>142</v>
      </c>
      <c r="C31" s="14">
        <v>1</v>
      </c>
      <c r="D31" s="14">
        <v>1</v>
      </c>
      <c r="E31" s="14">
        <v>500</v>
      </c>
      <c r="F31" s="14" t="s">
        <v>84</v>
      </c>
      <c r="G31" s="14">
        <v>75.2</v>
      </c>
      <c r="H31" s="10">
        <v>1187</v>
      </c>
      <c r="I31" s="15">
        <f t="shared" si="0"/>
        <v>1.5784574468085106</v>
      </c>
      <c r="J31" s="10" t="s">
        <v>142</v>
      </c>
      <c r="L31" t="s">
        <v>16</v>
      </c>
      <c r="M31" t="s">
        <v>11</v>
      </c>
      <c r="N31" s="16">
        <f>AVERAGE(N16:N18)</f>
        <v>1.8891843971631206</v>
      </c>
      <c r="O31" s="16">
        <f>AVERAGE(O16:O18)</f>
        <v>1.9725177304964536</v>
      </c>
      <c r="P31" s="16">
        <f>AVERAGE(P16:P18)</f>
        <v>2.5119680851063833</v>
      </c>
      <c r="Q31" s="16">
        <f>AVERAGE(Q16:Q18)</f>
        <v>2.8869680851063833</v>
      </c>
      <c r="R31" s="16">
        <f>AVERAGE(R16:R18)</f>
        <v>0.99778368794326211</v>
      </c>
      <c r="S31" s="16"/>
      <c r="T31" s="16"/>
    </row>
    <row r="32" spans="1:38" ht="15.75" thickBot="1">
      <c r="A32" s="9" t="s">
        <v>143</v>
      </c>
      <c r="B32" s="9" t="s">
        <v>144</v>
      </c>
      <c r="C32" s="14">
        <v>1</v>
      </c>
      <c r="D32" s="14">
        <v>1</v>
      </c>
      <c r="E32" s="14">
        <v>500</v>
      </c>
      <c r="F32" s="14" t="s">
        <v>84</v>
      </c>
      <c r="G32" s="14">
        <v>75.2</v>
      </c>
      <c r="H32" s="10">
        <v>1181</v>
      </c>
      <c r="I32" s="15">
        <f t="shared" si="0"/>
        <v>1.5704787234042552</v>
      </c>
      <c r="J32" s="10" t="s">
        <v>144</v>
      </c>
      <c r="M32" t="s">
        <v>14</v>
      </c>
      <c r="N32" s="16">
        <f>AVERAGE(N19:N21)</f>
        <v>1.9024822695035459</v>
      </c>
      <c r="O32" s="16">
        <f>AVERAGE(O19:O21)</f>
        <v>1.8266843971631204</v>
      </c>
      <c r="P32" s="16">
        <f>AVERAGE(P19:P21)</f>
        <v>1.7734929078014183</v>
      </c>
      <c r="Q32" s="16">
        <f>AVERAGE(Q19:Q21)</f>
        <v>1.675975177304964</v>
      </c>
      <c r="R32" s="16">
        <f>AVERAGE(R19:R21)</f>
        <v>-0.22650709219858167</v>
      </c>
      <c r="S32" s="16"/>
      <c r="T32" s="16"/>
      <c r="AF32" t="s">
        <v>477</v>
      </c>
    </row>
    <row r="33" spans="1:38">
      <c r="A33" s="9" t="s">
        <v>145</v>
      </c>
      <c r="B33" s="9" t="s">
        <v>146</v>
      </c>
      <c r="C33" s="14">
        <v>1</v>
      </c>
      <c r="D33" s="14">
        <v>1</v>
      </c>
      <c r="E33" s="14">
        <v>500</v>
      </c>
      <c r="F33" s="14" t="s">
        <v>84</v>
      </c>
      <c r="G33" s="14">
        <v>75.2</v>
      </c>
      <c r="H33" s="10">
        <v>1414</v>
      </c>
      <c r="I33" s="15">
        <f t="shared" si="0"/>
        <v>1.8803191489361704</v>
      </c>
      <c r="J33" s="10" t="s">
        <v>146</v>
      </c>
      <c r="M33" t="s">
        <v>15</v>
      </c>
      <c r="N33" s="16">
        <f>AVERAGE(N22:N24)</f>
        <v>1.87677304964539</v>
      </c>
      <c r="O33" s="16">
        <f>AVERAGE(O22:O24)</f>
        <v>1.9401595744680851</v>
      </c>
      <c r="P33" s="16">
        <f>AVERAGE(P22:P24)</f>
        <v>1.926418439716312</v>
      </c>
      <c r="Q33" s="16">
        <f>AVERAGE(Q22:Q24)</f>
        <v>1.8045212765957446</v>
      </c>
      <c r="R33" s="16">
        <f>AVERAGE(R22:R24)</f>
        <v>-7.2251773049645404E-2</v>
      </c>
      <c r="S33" s="16"/>
      <c r="T33" s="16"/>
      <c r="AF33" s="25" t="s">
        <v>478</v>
      </c>
      <c r="AG33" s="25" t="s">
        <v>479</v>
      </c>
      <c r="AH33" s="25" t="s">
        <v>480</v>
      </c>
      <c r="AI33" s="25" t="s">
        <v>481</v>
      </c>
      <c r="AJ33" s="25" t="s">
        <v>482</v>
      </c>
      <c r="AK33" s="25" t="s">
        <v>483</v>
      </c>
      <c r="AL33" s="25" t="s">
        <v>484</v>
      </c>
    </row>
    <row r="34" spans="1:38">
      <c r="A34" s="9" t="s">
        <v>147</v>
      </c>
      <c r="B34" s="9" t="s">
        <v>148</v>
      </c>
      <c r="C34" s="14">
        <v>1</v>
      </c>
      <c r="D34" s="14">
        <v>1</v>
      </c>
      <c r="E34" s="14">
        <v>500</v>
      </c>
      <c r="F34" s="14" t="s">
        <v>84</v>
      </c>
      <c r="G34" s="14">
        <v>75.2</v>
      </c>
      <c r="H34" s="10">
        <v>1320</v>
      </c>
      <c r="I34" s="15">
        <f t="shared" si="0"/>
        <v>1.7553191489361704</v>
      </c>
      <c r="J34" s="10" t="s">
        <v>148</v>
      </c>
      <c r="O34" s="12"/>
      <c r="AF34" s="23" t="s">
        <v>485</v>
      </c>
      <c r="AG34" s="23">
        <v>2.6676585056083688</v>
      </c>
      <c r="AH34" s="23">
        <v>2</v>
      </c>
      <c r="AI34" s="23">
        <v>1.3338292528041844</v>
      </c>
      <c r="AJ34" s="23">
        <v>1.7603222871266924</v>
      </c>
      <c r="AK34" s="23">
        <v>0.25029645241215853</v>
      </c>
      <c r="AL34" s="23">
        <v>5.1432528497847176</v>
      </c>
    </row>
    <row r="35" spans="1:38">
      <c r="A35" s="9" t="s">
        <v>149</v>
      </c>
      <c r="B35" s="9" t="s">
        <v>150</v>
      </c>
      <c r="C35" s="14">
        <v>1</v>
      </c>
      <c r="D35" s="14">
        <v>1</v>
      </c>
      <c r="E35" s="14">
        <v>500</v>
      </c>
      <c r="F35" s="14" t="s">
        <v>84</v>
      </c>
      <c r="G35" s="14">
        <v>75.2</v>
      </c>
      <c r="H35" s="10">
        <v>1528</v>
      </c>
      <c r="I35" s="15">
        <f t="shared" si="0"/>
        <v>2.0319148936170213</v>
      </c>
      <c r="J35" s="10" t="s">
        <v>150</v>
      </c>
      <c r="M35" t="s">
        <v>11</v>
      </c>
      <c r="N35">
        <f>STDEV(N7:N9)/(SQRT(3))</f>
        <v>3.1028368794325059E-3</v>
      </c>
      <c r="O35" s="12">
        <f>STDEV(O7:O9)/(SQRT(3))</f>
        <v>1.7730496453900756E-2</v>
      </c>
      <c r="P35" s="12">
        <f>STDEV(P7:P9)/(SQRT(3))</f>
        <v>5.2915581705999741E-2</v>
      </c>
      <c r="Q35" s="12">
        <f>STDEV(Q7:Q9)/(SQRT(3))</f>
        <v>7.8436157307073082E-2</v>
      </c>
      <c r="R35" s="12">
        <f>STDEV(R7:R9)/(SQRT(3))</f>
        <v>7.9368731031306122E-2</v>
      </c>
      <c r="AF35" s="23" t="s">
        <v>486</v>
      </c>
      <c r="AG35" s="23">
        <v>4.5463126697600709</v>
      </c>
      <c r="AH35" s="23">
        <v>6</v>
      </c>
      <c r="AI35" s="23">
        <v>0.75771877829334511</v>
      </c>
      <c r="AJ35" s="23"/>
      <c r="AK35" s="23"/>
      <c r="AL35" s="23"/>
    </row>
    <row r="36" spans="1:38">
      <c r="A36" s="9" t="s">
        <v>151</v>
      </c>
      <c r="B36" s="9" t="s">
        <v>152</v>
      </c>
      <c r="C36" s="14">
        <v>1</v>
      </c>
      <c r="D36" s="14">
        <v>1</v>
      </c>
      <c r="E36" s="14">
        <v>500</v>
      </c>
      <c r="F36" s="14" t="s">
        <v>84</v>
      </c>
      <c r="G36" s="14">
        <v>75.2</v>
      </c>
      <c r="H36" s="10">
        <v>1412</v>
      </c>
      <c r="I36" s="15">
        <f t="shared" si="0"/>
        <v>1.8776595744680851</v>
      </c>
      <c r="J36" s="10" t="s">
        <v>152</v>
      </c>
      <c r="M36" s="12" t="str">
        <f>M29</f>
        <v>SW+N</v>
      </c>
      <c r="N36">
        <f>STDEV(N10:N12)/(SQRT(3))</f>
        <v>9.7819487990753549E-3</v>
      </c>
      <c r="O36" s="12">
        <f>STDEV(O10:O12)/(SQRT(3))</f>
        <v>6.538233260238073E-2</v>
      </c>
      <c r="P36" s="12">
        <f>STDEV(P10:P12)/(SQRT(3))</f>
        <v>0.65636866413693484</v>
      </c>
      <c r="Q36" s="12">
        <f>STDEV(Q10:Q12)/(SQRT(3))</f>
        <v>0.81275290798288513</v>
      </c>
      <c r="R36" s="12">
        <f>STDEV(R10:R12)/(SQRT(3))</f>
        <v>0.81579469393918136</v>
      </c>
      <c r="AF36" s="23"/>
      <c r="AG36" s="23"/>
      <c r="AH36" s="23"/>
      <c r="AI36" s="23"/>
      <c r="AJ36" s="23"/>
      <c r="AK36" s="23"/>
      <c r="AL36" s="23"/>
    </row>
    <row r="37" spans="1:38" ht="15.75" thickBot="1">
      <c r="A37" s="9" t="s">
        <v>153</v>
      </c>
      <c r="B37" s="9" t="s">
        <v>154</v>
      </c>
      <c r="C37" s="14">
        <v>1</v>
      </c>
      <c r="D37" s="14">
        <v>1</v>
      </c>
      <c r="E37" s="14">
        <v>500</v>
      </c>
      <c r="F37" s="14" t="s">
        <v>84</v>
      </c>
      <c r="G37" s="14">
        <v>75.2</v>
      </c>
      <c r="H37" s="10">
        <v>1385</v>
      </c>
      <c r="I37" s="15">
        <f t="shared" si="0"/>
        <v>1.8417553191489362</v>
      </c>
      <c r="J37" s="10" t="s">
        <v>154</v>
      </c>
      <c r="M37" s="12" t="str">
        <f>M30</f>
        <v>SW</v>
      </c>
      <c r="N37">
        <f>STDEV(N13:N15)/(SQRT(3))</f>
        <v>8.3808251364833719E-2</v>
      </c>
      <c r="O37" s="12">
        <f>STDEV(O13:O15)/(SQRT(3))</f>
        <v>1.2685361720970035E-2</v>
      </c>
      <c r="P37" s="12">
        <f>STDEV(P13:P15)/(SQRT(3))</f>
        <v>0.49530305280352699</v>
      </c>
      <c r="Q37" s="12">
        <f>STDEV(Q13:Q15)/(SQRT(3))</f>
        <v>0.51517371656463762</v>
      </c>
      <c r="R37" s="12">
        <f>STDEV(R13:R15)/(SQRT(3))</f>
        <v>0.43992247905007381</v>
      </c>
      <c r="AF37" s="24" t="s">
        <v>487</v>
      </c>
      <c r="AG37" s="24">
        <v>7.2139711753684397</v>
      </c>
      <c r="AH37" s="24">
        <v>8</v>
      </c>
      <c r="AI37" s="24"/>
      <c r="AJ37" s="24"/>
      <c r="AK37" s="24"/>
      <c r="AL37" s="24"/>
    </row>
    <row r="38" spans="1:38">
      <c r="A38" s="9" t="s">
        <v>155</v>
      </c>
      <c r="B38" s="9" t="s">
        <v>156</v>
      </c>
      <c r="C38" s="14">
        <v>1</v>
      </c>
      <c r="D38" s="14">
        <v>1</v>
      </c>
      <c r="E38" s="14">
        <v>500</v>
      </c>
      <c r="F38" s="14" t="s">
        <v>84</v>
      </c>
      <c r="G38" s="14">
        <v>75.2</v>
      </c>
      <c r="H38" s="10">
        <v>1495</v>
      </c>
      <c r="I38" s="15">
        <f t="shared" si="0"/>
        <v>1.988031914893617</v>
      </c>
      <c r="J38" s="10" t="s">
        <v>156</v>
      </c>
      <c r="M38" s="12" t="s">
        <v>11</v>
      </c>
      <c r="N38">
        <f>STDEV(N16:N18)/(SQRT(3))</f>
        <v>7.9969256516661244E-2</v>
      </c>
      <c r="O38" s="12">
        <f>STDEV(O16:O18)/(SQRT(3))</f>
        <v>0.15343987919323585</v>
      </c>
      <c r="P38" s="12">
        <f>STDEV(P16:P18)/(SQRT(3))</f>
        <v>0.55358985588139364</v>
      </c>
      <c r="Q38" s="12">
        <f>STDEV(Q16:Q18)/(SQRT(3))</f>
        <v>0.78271619999102049</v>
      </c>
      <c r="R38" s="12">
        <f>STDEV(R16:R18)/(SQRT(3))</f>
        <v>0.74950719331628513</v>
      </c>
    </row>
    <row r="39" spans="1:38">
      <c r="A39" s="9" t="s">
        <v>157</v>
      </c>
      <c r="B39" s="9" t="s">
        <v>158</v>
      </c>
      <c r="C39" s="14">
        <v>1</v>
      </c>
      <c r="D39" s="14">
        <v>1</v>
      </c>
      <c r="E39" s="14">
        <v>500</v>
      </c>
      <c r="F39" s="14" t="s">
        <v>84</v>
      </c>
      <c r="G39" s="14">
        <v>75.2</v>
      </c>
      <c r="H39" s="10">
        <v>1297</v>
      </c>
      <c r="I39" s="15">
        <f t="shared" si="0"/>
        <v>1.7247340425531914</v>
      </c>
      <c r="J39" s="10" t="s">
        <v>158</v>
      </c>
      <c r="M39" s="12" t="str">
        <f>M32</f>
        <v>SW+N</v>
      </c>
      <c r="N39">
        <f>STDEV(N19:N21)/(SQRT(3))</f>
        <v>4.4012631737115414E-2</v>
      </c>
      <c r="O39" s="12">
        <f>STDEV(O19:O21)/(SQRT(3))</f>
        <v>0.12399706420107851</v>
      </c>
      <c r="P39" s="12">
        <f>STDEV(P19:P21)/(SQRT(3))</f>
        <v>0.20311723127262529</v>
      </c>
      <c r="Q39" s="12">
        <f>STDEV(Q19:Q21)/(SQRT(3))</f>
        <v>0.39307854836386613</v>
      </c>
      <c r="R39" s="12">
        <f>STDEV(R19:R21)/(SQRT(3))</f>
        <v>0.42770137177690704</v>
      </c>
    </row>
    <row r="40" spans="1:38">
      <c r="A40" s="9" t="s">
        <v>159</v>
      </c>
      <c r="B40" s="9" t="s">
        <v>160</v>
      </c>
      <c r="C40" s="14">
        <v>1</v>
      </c>
      <c r="D40" s="14">
        <v>1</v>
      </c>
      <c r="E40" s="14">
        <v>500</v>
      </c>
      <c r="F40" s="14" t="s">
        <v>84</v>
      </c>
      <c r="G40" s="14">
        <v>75.2</v>
      </c>
      <c r="H40" s="10">
        <v>1446</v>
      </c>
      <c r="I40" s="15">
        <f t="shared" si="0"/>
        <v>1.9228723404255317</v>
      </c>
      <c r="J40" s="10" t="s">
        <v>160</v>
      </c>
      <c r="M40" s="12" t="str">
        <f>M33</f>
        <v>SW</v>
      </c>
      <c r="N40">
        <f>STDEV(N22:N24)/(SQRT(3))</f>
        <v>7.795749673197222E-2</v>
      </c>
      <c r="O40" s="12">
        <f>STDEV(O22:O24)/(SQRT(3))</f>
        <v>8.8541597320204724E-3</v>
      </c>
      <c r="P40" s="12">
        <f>STDEV(P22:P24)/(SQRT(3))</f>
        <v>7.9499827115806249E-2</v>
      </c>
      <c r="Q40" s="12">
        <f>STDEV(Q22:Q24)/(SQRT(3))</f>
        <v>4.8793105321398474E-2</v>
      </c>
      <c r="R40" s="12">
        <f>STDEV(R22:R24)/(SQRT(3))</f>
        <v>0.11414588052418631</v>
      </c>
    </row>
    <row r="41" spans="1:38">
      <c r="A41" s="9" t="s">
        <v>161</v>
      </c>
      <c r="B41" s="9" t="s">
        <v>162</v>
      </c>
      <c r="C41" s="14">
        <v>1</v>
      </c>
      <c r="D41" s="14">
        <v>1</v>
      </c>
      <c r="E41" s="14">
        <v>500</v>
      </c>
      <c r="F41" s="14" t="s">
        <v>84</v>
      </c>
      <c r="G41" s="14">
        <v>75.2</v>
      </c>
      <c r="H41" s="10">
        <v>1491</v>
      </c>
      <c r="I41" s="15">
        <f t="shared" si="0"/>
        <v>1.9827127659574468</v>
      </c>
      <c r="J41" s="10" t="s">
        <v>162</v>
      </c>
      <c r="AF41" t="s">
        <v>488</v>
      </c>
    </row>
    <row r="42" spans="1:38">
      <c r="A42" s="9" t="s">
        <v>163</v>
      </c>
      <c r="B42" s="9" t="s">
        <v>164</v>
      </c>
      <c r="C42" s="14">
        <v>1</v>
      </c>
      <c r="D42" s="14">
        <v>1</v>
      </c>
      <c r="E42" s="14">
        <v>500</v>
      </c>
      <c r="F42" s="14" t="s">
        <v>84</v>
      </c>
      <c r="G42" s="14">
        <v>75.2</v>
      </c>
      <c r="H42" s="10">
        <v>2325</v>
      </c>
      <c r="I42" s="15">
        <f t="shared" si="0"/>
        <v>3.0917553191489362</v>
      </c>
      <c r="J42" s="10" t="s">
        <v>164</v>
      </c>
      <c r="AF42" t="s">
        <v>489</v>
      </c>
    </row>
    <row r="43" spans="1:38">
      <c r="A43" s="9" t="s">
        <v>165</v>
      </c>
      <c r="B43" s="9" t="s">
        <v>166</v>
      </c>
      <c r="C43" s="14">
        <v>1</v>
      </c>
      <c r="D43" s="14">
        <v>1</v>
      </c>
      <c r="E43" s="14">
        <v>500</v>
      </c>
      <c r="F43" s="14" t="s">
        <v>84</v>
      </c>
      <c r="G43" s="14">
        <v>75.2</v>
      </c>
      <c r="H43" s="10">
        <v>2459</v>
      </c>
      <c r="I43" s="15">
        <f t="shared" si="0"/>
        <v>3.269946808510638</v>
      </c>
      <c r="J43" s="10" t="s">
        <v>166</v>
      </c>
    </row>
    <row r="44" spans="1:38">
      <c r="A44" s="9" t="s">
        <v>167</v>
      </c>
      <c r="B44" s="9" t="s">
        <v>168</v>
      </c>
      <c r="C44" s="14">
        <v>1</v>
      </c>
      <c r="D44" s="14">
        <v>1</v>
      </c>
      <c r="E44" s="14">
        <v>500</v>
      </c>
      <c r="F44" s="14" t="s">
        <v>84</v>
      </c>
      <c r="G44" s="14">
        <v>75.2</v>
      </c>
      <c r="H44" s="10">
        <v>2364</v>
      </c>
      <c r="I44" s="15">
        <f t="shared" si="0"/>
        <v>3.1436170212765955</v>
      </c>
      <c r="J44" s="10" t="s">
        <v>168</v>
      </c>
    </row>
    <row r="45" spans="1:38">
      <c r="A45" s="9" t="s">
        <v>169</v>
      </c>
      <c r="B45" s="9" t="s">
        <v>170</v>
      </c>
      <c r="C45" s="14">
        <v>1</v>
      </c>
      <c r="D45" s="14">
        <v>1</v>
      </c>
      <c r="E45" s="14">
        <v>500</v>
      </c>
      <c r="F45" s="14" t="s">
        <v>84</v>
      </c>
      <c r="G45" s="14">
        <v>75.2</v>
      </c>
      <c r="H45" s="10">
        <v>3790</v>
      </c>
      <c r="I45" s="15">
        <f t="shared" si="0"/>
        <v>5.039893617021276</v>
      </c>
      <c r="J45" s="10" t="s">
        <v>170</v>
      </c>
    </row>
    <row r="46" spans="1:38">
      <c r="A46" s="9" t="s">
        <v>171</v>
      </c>
      <c r="B46" s="9" t="s">
        <v>172</v>
      </c>
      <c r="C46" s="14">
        <v>1</v>
      </c>
      <c r="D46" s="14">
        <v>1</v>
      </c>
      <c r="E46" s="14">
        <v>500</v>
      </c>
      <c r="F46" s="14" t="s">
        <v>84</v>
      </c>
      <c r="G46" s="14">
        <v>75.2</v>
      </c>
      <c r="H46" s="10">
        <v>3981</v>
      </c>
      <c r="I46" s="15">
        <f t="shared" si="0"/>
        <v>5.2938829787234045</v>
      </c>
      <c r="J46" s="10" t="s">
        <v>172</v>
      </c>
    </row>
    <row r="47" spans="1:38">
      <c r="A47" s="9" t="s">
        <v>173</v>
      </c>
      <c r="B47" s="9" t="s">
        <v>174</v>
      </c>
      <c r="C47" s="14">
        <v>1</v>
      </c>
      <c r="D47" s="14">
        <v>1</v>
      </c>
      <c r="E47" s="14">
        <v>500</v>
      </c>
      <c r="F47" s="14" t="s">
        <v>84</v>
      </c>
      <c r="G47" s="14">
        <v>75.2</v>
      </c>
      <c r="H47" s="10">
        <v>2414</v>
      </c>
      <c r="I47" s="15">
        <f t="shared" si="0"/>
        <v>3.2101063829787231</v>
      </c>
      <c r="J47" s="10" t="s">
        <v>174</v>
      </c>
    </row>
    <row r="48" spans="1:38">
      <c r="A48" s="9" t="s">
        <v>175</v>
      </c>
      <c r="B48" s="9" t="s">
        <v>176</v>
      </c>
      <c r="C48" s="14">
        <v>1</v>
      </c>
      <c r="D48" s="14">
        <v>1</v>
      </c>
      <c r="E48" s="14">
        <v>500</v>
      </c>
      <c r="F48" s="14" t="s">
        <v>84</v>
      </c>
      <c r="G48" s="14">
        <v>75.2</v>
      </c>
      <c r="H48" s="10">
        <v>2585</v>
      </c>
      <c r="I48" s="15">
        <f t="shared" si="0"/>
        <v>3.4375</v>
      </c>
      <c r="J48" s="10" t="s">
        <v>176</v>
      </c>
    </row>
    <row r="49" spans="1:18">
      <c r="A49" s="9" t="s">
        <v>177</v>
      </c>
      <c r="B49" s="9" t="s">
        <v>178</v>
      </c>
      <c r="C49" s="14">
        <v>1</v>
      </c>
      <c r="D49" s="14">
        <v>1</v>
      </c>
      <c r="E49" s="14">
        <v>500</v>
      </c>
      <c r="F49" s="14" t="s">
        <v>84</v>
      </c>
      <c r="G49" s="14">
        <v>75.2</v>
      </c>
      <c r="H49" s="10">
        <v>1711</v>
      </c>
      <c r="I49" s="15">
        <f t="shared" si="0"/>
        <v>2.2752659574468086</v>
      </c>
      <c r="J49" s="10" t="s">
        <v>178</v>
      </c>
    </row>
    <row r="50" spans="1:18">
      <c r="A50" s="9" t="s">
        <v>179</v>
      </c>
      <c r="B50" s="9" t="s">
        <v>180</v>
      </c>
      <c r="C50" s="14">
        <v>1</v>
      </c>
      <c r="D50" s="14">
        <v>1</v>
      </c>
      <c r="E50" s="14">
        <v>500</v>
      </c>
      <c r="F50" s="14" t="s">
        <v>84</v>
      </c>
      <c r="G50" s="14">
        <v>75.2</v>
      </c>
      <c r="H50" s="10">
        <v>1326</v>
      </c>
      <c r="I50" s="15">
        <f t="shared" si="0"/>
        <v>1.7632978723404256</v>
      </c>
      <c r="J50" s="10" t="s">
        <v>180</v>
      </c>
    </row>
    <row r="51" spans="1:18">
      <c r="A51" s="9" t="s">
        <v>181</v>
      </c>
      <c r="B51" s="9" t="s">
        <v>182</v>
      </c>
      <c r="C51" s="14">
        <v>1</v>
      </c>
      <c r="D51" s="14">
        <v>1</v>
      </c>
      <c r="E51" s="14">
        <v>500</v>
      </c>
      <c r="F51" s="14" t="s">
        <v>84</v>
      </c>
      <c r="G51" s="14">
        <v>75.2</v>
      </c>
      <c r="H51" s="10">
        <v>1163</v>
      </c>
      <c r="I51" s="15">
        <f t="shared" si="0"/>
        <v>1.5465425531914891</v>
      </c>
      <c r="J51" s="10" t="s">
        <v>182</v>
      </c>
    </row>
    <row r="52" spans="1:18">
      <c r="A52" s="9" t="s">
        <v>183</v>
      </c>
      <c r="B52" s="9" t="s">
        <v>184</v>
      </c>
      <c r="C52" s="14">
        <v>1</v>
      </c>
      <c r="D52" s="14">
        <v>1</v>
      </c>
      <c r="E52" s="14">
        <v>500</v>
      </c>
      <c r="F52" s="14" t="s">
        <v>84</v>
      </c>
      <c r="G52" s="14">
        <v>75.2</v>
      </c>
      <c r="H52" s="10">
        <v>1899</v>
      </c>
      <c r="I52" s="15">
        <f t="shared" si="0"/>
        <v>2.5252659574468086</v>
      </c>
      <c r="J52" s="10" t="s">
        <v>184</v>
      </c>
    </row>
    <row r="53" spans="1:18">
      <c r="A53" s="9" t="s">
        <v>185</v>
      </c>
      <c r="B53" s="9" t="s">
        <v>186</v>
      </c>
      <c r="C53" s="14">
        <v>1</v>
      </c>
      <c r="D53" s="14">
        <v>1</v>
      </c>
      <c r="E53" s="14">
        <v>500</v>
      </c>
      <c r="F53" s="14" t="s">
        <v>84</v>
      </c>
      <c r="G53" s="14">
        <v>75.2</v>
      </c>
      <c r="H53" s="10">
        <v>2605</v>
      </c>
      <c r="I53" s="15">
        <f t="shared" si="0"/>
        <v>3.4640957446808511</v>
      </c>
      <c r="J53" s="10" t="s">
        <v>186</v>
      </c>
    </row>
    <row r="54" spans="1:18">
      <c r="A54" s="9" t="s">
        <v>187</v>
      </c>
      <c r="B54" s="9" t="s">
        <v>188</v>
      </c>
      <c r="C54" s="14">
        <v>1</v>
      </c>
      <c r="D54" s="14">
        <v>1</v>
      </c>
      <c r="E54" s="14">
        <v>500</v>
      </c>
      <c r="F54" s="14" t="s">
        <v>84</v>
      </c>
      <c r="G54" s="14">
        <v>75.2</v>
      </c>
      <c r="H54" s="10">
        <v>1572</v>
      </c>
      <c r="I54" s="15">
        <f t="shared" si="0"/>
        <v>2.0904255319148937</v>
      </c>
      <c r="J54" s="10" t="s">
        <v>188</v>
      </c>
    </row>
    <row r="55" spans="1:18">
      <c r="A55" s="9" t="s">
        <v>189</v>
      </c>
      <c r="B55" s="9" t="s">
        <v>190</v>
      </c>
      <c r="C55" s="14">
        <v>1</v>
      </c>
      <c r="D55" s="14">
        <v>1</v>
      </c>
      <c r="E55" s="14">
        <v>500</v>
      </c>
      <c r="F55" s="14" t="s">
        <v>84</v>
      </c>
      <c r="G55" s="14">
        <v>75.2</v>
      </c>
      <c r="H55" s="10">
        <v>1380</v>
      </c>
      <c r="I55" s="15">
        <f t="shared" si="0"/>
        <v>1.8351063829787233</v>
      </c>
      <c r="J55" s="10" t="s">
        <v>190</v>
      </c>
    </row>
    <row r="56" spans="1:18">
      <c r="A56" s="9" t="s">
        <v>191</v>
      </c>
      <c r="B56" s="9" t="s">
        <v>192</v>
      </c>
      <c r="C56" s="14">
        <v>1</v>
      </c>
      <c r="D56" s="14">
        <v>1</v>
      </c>
      <c r="E56" s="14">
        <v>500</v>
      </c>
      <c r="F56" s="14" t="s">
        <v>84</v>
      </c>
      <c r="G56" s="14">
        <v>75.2</v>
      </c>
      <c r="H56" s="10">
        <v>1049</v>
      </c>
      <c r="I56" s="15">
        <f t="shared" si="0"/>
        <v>1.3949468085106382</v>
      </c>
      <c r="J56" s="10" t="s">
        <v>192</v>
      </c>
    </row>
    <row r="57" spans="1:18">
      <c r="A57" s="9" t="s">
        <v>193</v>
      </c>
      <c r="B57" s="9" t="s">
        <v>194</v>
      </c>
      <c r="C57" s="14">
        <v>1</v>
      </c>
      <c r="D57" s="14">
        <v>1</v>
      </c>
      <c r="E57" s="14">
        <v>500</v>
      </c>
      <c r="F57" s="14" t="s">
        <v>84</v>
      </c>
      <c r="G57" s="14">
        <v>75.2</v>
      </c>
      <c r="H57" s="10">
        <v>1562</v>
      </c>
      <c r="I57" s="15">
        <f t="shared" si="0"/>
        <v>2.0771276595744679</v>
      </c>
      <c r="J57" s="10" t="s">
        <v>194</v>
      </c>
      <c r="P57" t="s">
        <v>490</v>
      </c>
      <c r="Q57" t="s">
        <v>491</v>
      </c>
      <c r="R57" t="s">
        <v>492</v>
      </c>
    </row>
    <row r="58" spans="1:18">
      <c r="A58" s="9" t="s">
        <v>195</v>
      </c>
      <c r="B58" s="9" t="s">
        <v>196</v>
      </c>
      <c r="C58" s="14">
        <v>1</v>
      </c>
      <c r="D58" s="14">
        <v>1</v>
      </c>
      <c r="E58" s="14">
        <v>500</v>
      </c>
      <c r="F58" s="14" t="s">
        <v>84</v>
      </c>
      <c r="G58" s="14">
        <v>75.2</v>
      </c>
      <c r="H58" s="10">
        <v>1425</v>
      </c>
      <c r="I58" s="15">
        <f t="shared" si="0"/>
        <v>1.8949468085106382</v>
      </c>
      <c r="J58" s="10" t="s">
        <v>196</v>
      </c>
      <c r="N58" t="s">
        <v>10</v>
      </c>
      <c r="O58" t="s">
        <v>468</v>
      </c>
      <c r="P58" s="16">
        <f>I66</f>
        <v>3.6755319148936172</v>
      </c>
      <c r="Q58" s="16">
        <f t="shared" ref="Q58:Q63" si="8">I60</f>
        <v>0.82579787234042545</v>
      </c>
      <c r="R58">
        <f t="shared" ref="R58:R63" si="9">P58/Q58</f>
        <v>4.4508856682769729</v>
      </c>
    </row>
    <row r="59" spans="1:18">
      <c r="A59" s="9" t="s">
        <v>197</v>
      </c>
      <c r="B59" s="9" t="s">
        <v>198</v>
      </c>
      <c r="C59" s="14">
        <v>1</v>
      </c>
      <c r="D59" s="14">
        <v>1</v>
      </c>
      <c r="E59" s="14">
        <v>500</v>
      </c>
      <c r="F59" s="14" t="s">
        <v>84</v>
      </c>
      <c r="G59" s="14">
        <v>75.2</v>
      </c>
      <c r="H59" s="10">
        <v>1359</v>
      </c>
      <c r="I59" s="15">
        <f t="shared" si="0"/>
        <v>1.8071808510638296</v>
      </c>
      <c r="J59" s="10" t="s">
        <v>198</v>
      </c>
      <c r="O59" t="s">
        <v>469</v>
      </c>
      <c r="P59" s="16">
        <f>I67</f>
        <v>3.936170212765957</v>
      </c>
      <c r="Q59" s="16">
        <f t="shared" si="8"/>
        <v>0.99335106382978722</v>
      </c>
      <c r="R59" s="12">
        <f t="shared" si="9"/>
        <v>3.9625167336010705</v>
      </c>
    </row>
    <row r="60" spans="1:18">
      <c r="A60" s="9" t="s">
        <v>199</v>
      </c>
      <c r="B60" s="9" t="s">
        <v>200</v>
      </c>
      <c r="C60" s="14">
        <v>1</v>
      </c>
      <c r="D60" s="14">
        <v>1</v>
      </c>
      <c r="E60" s="14">
        <v>500</v>
      </c>
      <c r="F60" s="14" t="s">
        <v>84</v>
      </c>
      <c r="G60" s="14">
        <v>75.2</v>
      </c>
      <c r="H60" s="10">
        <v>621</v>
      </c>
      <c r="I60" s="15">
        <f t="shared" si="0"/>
        <v>0.82579787234042545</v>
      </c>
      <c r="J60" s="10" t="s">
        <v>200</v>
      </c>
      <c r="O60" t="s">
        <v>470</v>
      </c>
      <c r="P60" s="16">
        <f>I68</f>
        <v>3.8723404255319145</v>
      </c>
      <c r="Q60" s="16">
        <f t="shared" si="8"/>
        <v>0.96143617021276584</v>
      </c>
      <c r="R60" s="12">
        <f t="shared" si="9"/>
        <v>4.0276625172890732</v>
      </c>
    </row>
    <row r="61" spans="1:18">
      <c r="A61" s="9" t="s">
        <v>201</v>
      </c>
      <c r="B61" s="9" t="s">
        <v>202</v>
      </c>
      <c r="C61" s="14">
        <v>1</v>
      </c>
      <c r="D61" s="14">
        <v>1</v>
      </c>
      <c r="E61" s="14">
        <v>500</v>
      </c>
      <c r="F61" s="14" t="s">
        <v>84</v>
      </c>
      <c r="G61" s="14">
        <v>75.2</v>
      </c>
      <c r="H61" s="10">
        <v>747</v>
      </c>
      <c r="I61" s="15">
        <f t="shared" si="0"/>
        <v>0.99335106382978722</v>
      </c>
      <c r="J61" s="10" t="s">
        <v>202</v>
      </c>
      <c r="N61" t="s">
        <v>16</v>
      </c>
      <c r="O61" t="s">
        <v>468</v>
      </c>
      <c r="P61" s="16">
        <f>I75</f>
        <v>1.4574468085106382</v>
      </c>
      <c r="Q61" s="16">
        <f t="shared" si="8"/>
        <v>0.4521276595744681</v>
      </c>
      <c r="R61" s="12">
        <f t="shared" si="9"/>
        <v>3.2235294117647055</v>
      </c>
    </row>
    <row r="62" spans="1:18">
      <c r="A62" s="9" t="s">
        <v>203</v>
      </c>
      <c r="B62" s="9" t="s">
        <v>204</v>
      </c>
      <c r="C62" s="14">
        <v>1</v>
      </c>
      <c r="D62" s="14">
        <v>1</v>
      </c>
      <c r="E62" s="14">
        <v>500</v>
      </c>
      <c r="F62" s="14" t="s">
        <v>84</v>
      </c>
      <c r="G62" s="14">
        <v>75.2</v>
      </c>
      <c r="H62" s="10">
        <v>723</v>
      </c>
      <c r="I62" s="15">
        <f t="shared" si="0"/>
        <v>0.96143617021276584</v>
      </c>
      <c r="J62" s="10" t="s">
        <v>204</v>
      </c>
      <c r="O62" t="s">
        <v>469</v>
      </c>
      <c r="P62" s="16">
        <f>I76</f>
        <v>3.0492021276595742</v>
      </c>
      <c r="Q62" s="16">
        <f t="shared" si="8"/>
        <v>0.85571808510638292</v>
      </c>
      <c r="R62" s="12">
        <f t="shared" si="9"/>
        <v>3.5633255633255634</v>
      </c>
    </row>
    <row r="63" spans="1:18">
      <c r="A63" s="9" t="s">
        <v>205</v>
      </c>
      <c r="B63" s="9" t="s">
        <v>206</v>
      </c>
      <c r="C63" s="14">
        <v>1</v>
      </c>
      <c r="D63" s="14">
        <v>1</v>
      </c>
      <c r="E63" s="14">
        <v>500</v>
      </c>
      <c r="F63" s="14" t="s">
        <v>84</v>
      </c>
      <c r="G63" s="14">
        <v>75.2</v>
      </c>
      <c r="H63" s="10">
        <v>340</v>
      </c>
      <c r="I63" s="15">
        <f t="shared" si="0"/>
        <v>0.4521276595744681</v>
      </c>
      <c r="J63" s="10" t="s">
        <v>206</v>
      </c>
      <c r="O63" t="s">
        <v>470</v>
      </c>
      <c r="P63" s="16">
        <f>I77</f>
        <v>4.1542553191489358</v>
      </c>
      <c r="Q63" s="16">
        <f t="shared" si="8"/>
        <v>1.3337765957446808</v>
      </c>
      <c r="R63" s="12">
        <f t="shared" si="9"/>
        <v>3.1146560319042869</v>
      </c>
    </row>
    <row r="64" spans="1:18">
      <c r="A64" s="9" t="s">
        <v>207</v>
      </c>
      <c r="B64" s="9" t="s">
        <v>208</v>
      </c>
      <c r="C64" s="14">
        <v>1</v>
      </c>
      <c r="D64" s="14">
        <v>2</v>
      </c>
      <c r="E64" s="14">
        <v>500</v>
      </c>
      <c r="F64" s="14" t="s">
        <v>84</v>
      </c>
      <c r="G64" s="14">
        <v>75.2</v>
      </c>
      <c r="H64" s="10">
        <v>1287</v>
      </c>
      <c r="I64" s="15">
        <f t="shared" si="0"/>
        <v>0.85571808510638292</v>
      </c>
      <c r="J64" s="10" t="s">
        <v>208</v>
      </c>
    </row>
    <row r="65" spans="1:10">
      <c r="A65" s="9" t="s">
        <v>209</v>
      </c>
      <c r="B65" s="9" t="s">
        <v>210</v>
      </c>
      <c r="C65" s="14">
        <v>1</v>
      </c>
      <c r="D65" s="14">
        <v>2</v>
      </c>
      <c r="E65" s="14">
        <v>500</v>
      </c>
      <c r="F65" s="14" t="s">
        <v>84</v>
      </c>
      <c r="G65" s="14">
        <v>75.2</v>
      </c>
      <c r="H65" s="10">
        <v>2006</v>
      </c>
      <c r="I65" s="15">
        <f t="shared" si="0"/>
        <v>1.3337765957446808</v>
      </c>
      <c r="J65" s="10" t="s">
        <v>210</v>
      </c>
    </row>
    <row r="66" spans="1:10">
      <c r="A66" s="9" t="s">
        <v>211</v>
      </c>
      <c r="B66" s="9" t="s">
        <v>212</v>
      </c>
      <c r="C66" s="14">
        <v>1</v>
      </c>
      <c r="D66" s="14">
        <v>1</v>
      </c>
      <c r="E66" s="14">
        <v>500</v>
      </c>
      <c r="F66" s="14" t="s">
        <v>84</v>
      </c>
      <c r="G66" s="14">
        <v>75.2</v>
      </c>
      <c r="H66" s="10">
        <v>2764</v>
      </c>
      <c r="I66" s="15">
        <f t="shared" si="0"/>
        <v>3.6755319148936172</v>
      </c>
      <c r="J66" s="10" t="s">
        <v>212</v>
      </c>
    </row>
    <row r="67" spans="1:10">
      <c r="A67" s="9" t="s">
        <v>213</v>
      </c>
      <c r="B67" s="9" t="s">
        <v>214</v>
      </c>
      <c r="C67" s="14">
        <v>1</v>
      </c>
      <c r="D67" s="14">
        <v>1</v>
      </c>
      <c r="E67" s="14">
        <v>500</v>
      </c>
      <c r="F67" s="14" t="s">
        <v>84</v>
      </c>
      <c r="G67" s="14">
        <v>75.2</v>
      </c>
      <c r="H67" s="10">
        <v>2960</v>
      </c>
      <c r="I67" s="15">
        <f t="shared" si="0"/>
        <v>3.936170212765957</v>
      </c>
      <c r="J67" s="10" t="s">
        <v>214</v>
      </c>
    </row>
    <row r="68" spans="1:10">
      <c r="A68" s="9" t="s">
        <v>215</v>
      </c>
      <c r="B68" s="9" t="s">
        <v>216</v>
      </c>
      <c r="C68" s="14">
        <v>1</v>
      </c>
      <c r="D68" s="14">
        <v>1</v>
      </c>
      <c r="E68" s="14">
        <v>500</v>
      </c>
      <c r="F68" s="14" t="s">
        <v>84</v>
      </c>
      <c r="G68" s="14">
        <v>75.2</v>
      </c>
      <c r="H68" s="10">
        <v>2912</v>
      </c>
      <c r="I68" s="15">
        <f t="shared" si="0"/>
        <v>3.8723404255319145</v>
      </c>
      <c r="J68" s="10" t="s">
        <v>216</v>
      </c>
    </row>
    <row r="69" spans="1:10">
      <c r="A69" s="9" t="s">
        <v>217</v>
      </c>
      <c r="B69" s="9" t="s">
        <v>218</v>
      </c>
      <c r="C69" s="14">
        <v>1</v>
      </c>
      <c r="D69" s="14">
        <v>1</v>
      </c>
      <c r="E69" s="14">
        <v>500</v>
      </c>
      <c r="F69" s="14" t="s">
        <v>84</v>
      </c>
      <c r="G69" s="14">
        <v>75.2</v>
      </c>
      <c r="H69" s="10">
        <v>4527</v>
      </c>
      <c r="I69" s="15">
        <f t="shared" si="0"/>
        <v>6.019946808510638</v>
      </c>
      <c r="J69" s="10" t="s">
        <v>218</v>
      </c>
    </row>
    <row r="70" spans="1:10">
      <c r="A70" s="9" t="s">
        <v>219</v>
      </c>
      <c r="B70" s="9" t="s">
        <v>220</v>
      </c>
      <c r="C70" s="14">
        <v>1</v>
      </c>
      <c r="D70" s="14">
        <v>1</v>
      </c>
      <c r="E70" s="14">
        <v>500</v>
      </c>
      <c r="F70" s="14" t="s">
        <v>84</v>
      </c>
      <c r="G70" s="14">
        <v>75.2</v>
      </c>
      <c r="H70" s="10">
        <v>4811</v>
      </c>
      <c r="I70" s="15">
        <f t="shared" ref="I70:I83" si="10">((H70/((G70*D70)/1000))*C70)/10000</f>
        <v>6.3976063829787231</v>
      </c>
      <c r="J70" s="10" t="s">
        <v>220</v>
      </c>
    </row>
    <row r="71" spans="1:10">
      <c r="A71" s="9" t="s">
        <v>221</v>
      </c>
      <c r="B71" s="9" t="s">
        <v>222</v>
      </c>
      <c r="C71" s="14">
        <v>1</v>
      </c>
      <c r="D71" s="14">
        <v>1</v>
      </c>
      <c r="E71" s="14">
        <v>500</v>
      </c>
      <c r="F71" s="14" t="s">
        <v>84</v>
      </c>
      <c r="G71" s="14">
        <v>75.2</v>
      </c>
      <c r="H71" s="10">
        <v>2852</v>
      </c>
      <c r="I71" s="15">
        <f t="shared" si="10"/>
        <v>3.792553191489362</v>
      </c>
      <c r="J71" s="10" t="s">
        <v>222</v>
      </c>
    </row>
    <row r="72" spans="1:10">
      <c r="A72" s="9" t="s">
        <v>223</v>
      </c>
      <c r="B72" s="9" t="s">
        <v>224</v>
      </c>
      <c r="C72" s="14">
        <v>1</v>
      </c>
      <c r="D72" s="14">
        <v>1</v>
      </c>
      <c r="E72" s="14">
        <v>500</v>
      </c>
      <c r="F72" s="14" t="s">
        <v>84</v>
      </c>
      <c r="G72" s="14">
        <v>75.2</v>
      </c>
      <c r="H72" s="10">
        <v>2986</v>
      </c>
      <c r="I72" s="15">
        <f t="shared" si="10"/>
        <v>3.9707446808510634</v>
      </c>
      <c r="J72" s="10" t="s">
        <v>224</v>
      </c>
    </row>
    <row r="73" spans="1:10">
      <c r="A73" s="9" t="s">
        <v>225</v>
      </c>
      <c r="B73" s="9" t="s">
        <v>226</v>
      </c>
      <c r="C73" s="14">
        <v>1</v>
      </c>
      <c r="D73" s="14">
        <v>1</v>
      </c>
      <c r="E73" s="14">
        <v>500</v>
      </c>
      <c r="F73" s="14" t="s">
        <v>84</v>
      </c>
      <c r="G73" s="14">
        <v>75.2</v>
      </c>
      <c r="H73" s="10">
        <v>2227</v>
      </c>
      <c r="I73" s="15">
        <f t="shared" si="10"/>
        <v>2.9614361702127661</v>
      </c>
      <c r="J73" s="10" t="s">
        <v>226</v>
      </c>
    </row>
    <row r="74" spans="1:10">
      <c r="A74" s="9" t="s">
        <v>227</v>
      </c>
      <c r="B74" s="9" t="s">
        <v>228</v>
      </c>
      <c r="C74" s="14">
        <v>1</v>
      </c>
      <c r="D74" s="14">
        <v>1</v>
      </c>
      <c r="E74" s="14">
        <v>500</v>
      </c>
      <c r="F74" s="14" t="s">
        <v>84</v>
      </c>
      <c r="G74" s="14">
        <v>75.2</v>
      </c>
      <c r="H74" s="10">
        <v>1648</v>
      </c>
      <c r="I74" s="15">
        <f t="shared" si="10"/>
        <v>2.1914893617021276</v>
      </c>
      <c r="J74" s="10" t="s">
        <v>228</v>
      </c>
    </row>
    <row r="75" spans="1:10">
      <c r="A75" s="9" t="s">
        <v>229</v>
      </c>
      <c r="B75" s="9" t="s">
        <v>230</v>
      </c>
      <c r="C75" s="14">
        <v>1</v>
      </c>
      <c r="D75" s="14">
        <v>1</v>
      </c>
      <c r="E75" s="14">
        <v>500</v>
      </c>
      <c r="F75" s="14" t="s">
        <v>84</v>
      </c>
      <c r="G75" s="14">
        <v>75.2</v>
      </c>
      <c r="H75" s="10">
        <v>1096</v>
      </c>
      <c r="I75" s="15">
        <f t="shared" si="10"/>
        <v>1.4574468085106382</v>
      </c>
      <c r="J75" s="10" t="s">
        <v>230</v>
      </c>
    </row>
    <row r="76" spans="1:10">
      <c r="A76" s="9" t="s">
        <v>231</v>
      </c>
      <c r="B76" s="9" t="s">
        <v>232</v>
      </c>
      <c r="C76" s="14">
        <v>1</v>
      </c>
      <c r="D76" s="14">
        <v>1</v>
      </c>
      <c r="E76" s="14">
        <v>500</v>
      </c>
      <c r="F76" s="14" t="s">
        <v>84</v>
      </c>
      <c r="G76" s="14">
        <v>75.2</v>
      </c>
      <c r="H76" s="10">
        <v>2293</v>
      </c>
      <c r="I76" s="15">
        <f t="shared" si="10"/>
        <v>3.0492021276595742</v>
      </c>
      <c r="J76" s="10" t="s">
        <v>232</v>
      </c>
    </row>
    <row r="77" spans="1:10">
      <c r="A77" s="9" t="s">
        <v>233</v>
      </c>
      <c r="B77" s="9" t="s">
        <v>234</v>
      </c>
      <c r="C77" s="14">
        <v>1</v>
      </c>
      <c r="D77" s="14">
        <v>1</v>
      </c>
      <c r="E77" s="14">
        <v>500</v>
      </c>
      <c r="F77" s="14" t="s">
        <v>84</v>
      </c>
      <c r="G77" s="14">
        <v>75.2</v>
      </c>
      <c r="H77" s="10">
        <v>3124</v>
      </c>
      <c r="I77" s="15">
        <f t="shared" si="10"/>
        <v>4.1542553191489358</v>
      </c>
      <c r="J77" s="10" t="s">
        <v>234</v>
      </c>
    </row>
    <row r="78" spans="1:10">
      <c r="A78" s="9" t="s">
        <v>235</v>
      </c>
      <c r="B78" s="9" t="s">
        <v>236</v>
      </c>
      <c r="C78" s="14">
        <v>1</v>
      </c>
      <c r="D78" s="14">
        <v>1</v>
      </c>
      <c r="E78" s="14">
        <v>500</v>
      </c>
      <c r="F78" s="14" t="s">
        <v>84</v>
      </c>
      <c r="G78" s="14">
        <v>75.2</v>
      </c>
      <c r="H78" s="10">
        <v>1753</v>
      </c>
      <c r="I78" s="15">
        <f t="shared" si="10"/>
        <v>2.3311170212765955</v>
      </c>
      <c r="J78" s="10" t="s">
        <v>236</v>
      </c>
    </row>
    <row r="79" spans="1:10">
      <c r="A79" s="9" t="s">
        <v>237</v>
      </c>
      <c r="B79" s="9" t="s">
        <v>238</v>
      </c>
      <c r="C79" s="14">
        <v>1</v>
      </c>
      <c r="D79" s="14">
        <v>1</v>
      </c>
      <c r="E79" s="14">
        <v>500</v>
      </c>
      <c r="F79" s="14" t="s">
        <v>84</v>
      </c>
      <c r="G79" s="14">
        <v>75.2</v>
      </c>
      <c r="H79" s="10">
        <v>1297</v>
      </c>
      <c r="I79" s="15">
        <f t="shared" si="10"/>
        <v>1.7247340425531914</v>
      </c>
      <c r="J79" s="10" t="s">
        <v>238</v>
      </c>
    </row>
    <row r="80" spans="1:10">
      <c r="A80" s="9" t="s">
        <v>239</v>
      </c>
      <c r="B80" s="9" t="s">
        <v>240</v>
      </c>
      <c r="C80" s="14">
        <v>1</v>
      </c>
      <c r="D80" s="14">
        <v>1</v>
      </c>
      <c r="E80" s="14">
        <v>500</v>
      </c>
      <c r="F80" s="14" t="s">
        <v>84</v>
      </c>
      <c r="G80" s="14">
        <v>75.2</v>
      </c>
      <c r="H80" s="10">
        <v>731</v>
      </c>
      <c r="I80" s="15">
        <f t="shared" si="10"/>
        <v>0.97207446808510634</v>
      </c>
      <c r="J80" s="10" t="s">
        <v>240</v>
      </c>
    </row>
    <row r="81" spans="1:10">
      <c r="A81" s="9" t="s">
        <v>241</v>
      </c>
      <c r="B81" s="9" t="s">
        <v>242</v>
      </c>
      <c r="C81" s="14">
        <v>1</v>
      </c>
      <c r="D81" s="14">
        <v>1</v>
      </c>
      <c r="E81" s="14">
        <v>500</v>
      </c>
      <c r="F81" s="14" t="s">
        <v>84</v>
      </c>
      <c r="G81" s="14">
        <v>75.2</v>
      </c>
      <c r="H81" s="10">
        <v>1387</v>
      </c>
      <c r="I81" s="15">
        <f t="shared" si="10"/>
        <v>1.844414893617021</v>
      </c>
      <c r="J81" s="10" t="s">
        <v>242</v>
      </c>
    </row>
    <row r="82" spans="1:10">
      <c r="A82" s="9" t="s">
        <v>243</v>
      </c>
      <c r="B82" s="9" t="s">
        <v>244</v>
      </c>
      <c r="C82" s="14">
        <v>1</v>
      </c>
      <c r="D82" s="14">
        <v>1</v>
      </c>
      <c r="E82" s="14">
        <v>500</v>
      </c>
      <c r="F82" s="14" t="s">
        <v>84</v>
      </c>
      <c r="G82" s="14">
        <v>75.2</v>
      </c>
      <c r="H82" s="10">
        <v>1400</v>
      </c>
      <c r="I82" s="15">
        <f t="shared" si="10"/>
        <v>1.8617021276595744</v>
      </c>
      <c r="J82" s="10" t="s">
        <v>244</v>
      </c>
    </row>
    <row r="83" spans="1:10">
      <c r="A83" s="9" t="s">
        <v>245</v>
      </c>
      <c r="B83" s="9" t="s">
        <v>246</v>
      </c>
      <c r="C83" s="14">
        <v>1</v>
      </c>
      <c r="D83" s="14">
        <v>1</v>
      </c>
      <c r="E83" s="14">
        <v>500</v>
      </c>
      <c r="F83" s="14" t="s">
        <v>84</v>
      </c>
      <c r="G83" s="14">
        <v>75.2</v>
      </c>
      <c r="H83" s="10">
        <v>1284</v>
      </c>
      <c r="I83" s="15">
        <f t="shared" si="10"/>
        <v>1.7074468085106382</v>
      </c>
      <c r="J83" s="10" t="s">
        <v>246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T98"/>
  <sheetViews>
    <sheetView workbookViewId="0">
      <selection activeCell="P19" sqref="P19:T28"/>
    </sheetView>
  </sheetViews>
  <sheetFormatPr defaultRowHeight="15"/>
  <cols>
    <col min="2" max="2" width="23.42578125" bestFit="1" customWidth="1"/>
    <col min="10" max="10" width="9.140625" style="12"/>
  </cols>
  <sheetData>
    <row r="2" spans="1:20" ht="39.75">
      <c r="A2" s="12"/>
      <c r="B2" s="13" t="s">
        <v>76</v>
      </c>
      <c r="C2" s="13" t="s">
        <v>77</v>
      </c>
      <c r="D2" s="13" t="s">
        <v>78</v>
      </c>
      <c r="E2" s="13" t="s">
        <v>79</v>
      </c>
      <c r="F2" s="13" t="s">
        <v>87</v>
      </c>
      <c r="G2" s="13" t="s">
        <v>88</v>
      </c>
      <c r="H2" s="13" t="s">
        <v>80</v>
      </c>
      <c r="I2" s="13" t="s">
        <v>81</v>
      </c>
      <c r="J2" s="13" t="s">
        <v>442</v>
      </c>
      <c r="K2" s="13" t="s">
        <v>82</v>
      </c>
      <c r="L2" s="13" t="s">
        <v>443</v>
      </c>
      <c r="M2" s="13" t="s">
        <v>76</v>
      </c>
    </row>
    <row r="3" spans="1:20">
      <c r="A3" s="12"/>
      <c r="B3" s="14"/>
      <c r="C3" s="14"/>
      <c r="D3" s="14"/>
      <c r="E3" s="14"/>
      <c r="F3" s="14"/>
      <c r="G3" s="14"/>
      <c r="H3" s="14" t="s">
        <v>84</v>
      </c>
      <c r="I3" s="14"/>
      <c r="J3" s="14"/>
      <c r="K3" s="14"/>
      <c r="L3" s="15"/>
      <c r="M3" s="14"/>
    </row>
    <row r="4" spans="1:20">
      <c r="A4" s="12"/>
      <c r="B4" s="12"/>
      <c r="C4" s="14"/>
      <c r="D4" s="14"/>
      <c r="E4" s="14"/>
      <c r="F4" s="14"/>
      <c r="G4" s="14"/>
      <c r="H4" s="14" t="s">
        <v>89</v>
      </c>
      <c r="I4" s="14">
        <v>52.1</v>
      </c>
      <c r="J4" s="11"/>
      <c r="K4" s="12"/>
      <c r="L4" s="15"/>
      <c r="M4" s="12"/>
    </row>
    <row r="5" spans="1:20">
      <c r="A5" s="17" t="s">
        <v>346</v>
      </c>
      <c r="B5" s="17" t="s">
        <v>347</v>
      </c>
      <c r="C5" s="14"/>
      <c r="D5" s="14">
        <v>1</v>
      </c>
      <c r="E5" s="14">
        <v>500</v>
      </c>
      <c r="F5" s="14">
        <v>10</v>
      </c>
      <c r="G5" s="14">
        <v>510</v>
      </c>
      <c r="H5" s="14" t="s">
        <v>89</v>
      </c>
      <c r="I5" s="14">
        <v>52.1</v>
      </c>
      <c r="J5" s="11"/>
      <c r="K5" s="19">
        <v>253</v>
      </c>
      <c r="L5" s="15">
        <f>(((K5-J5)/((I5*D5)/1000))*C5)/1000000</f>
        <v>0</v>
      </c>
      <c r="M5" s="17" t="s">
        <v>347</v>
      </c>
    </row>
    <row r="6" spans="1:20">
      <c r="A6" s="17" t="s">
        <v>348</v>
      </c>
      <c r="B6" s="17" t="s">
        <v>349</v>
      </c>
      <c r="C6" s="14"/>
      <c r="D6" s="14">
        <v>1</v>
      </c>
      <c r="E6" s="14">
        <v>500</v>
      </c>
      <c r="F6" s="14">
        <v>10</v>
      </c>
      <c r="G6" s="14">
        <v>510</v>
      </c>
      <c r="H6" s="14" t="s">
        <v>89</v>
      </c>
      <c r="I6" s="14">
        <v>52.1</v>
      </c>
      <c r="J6" s="11"/>
      <c r="K6" s="19">
        <v>176</v>
      </c>
      <c r="L6" s="15">
        <f t="shared" ref="L6:L69" si="0">(((K6-J6)/((I6*D6)/1000))*C6)/1000000</f>
        <v>0</v>
      </c>
      <c r="M6" s="17" t="s">
        <v>349</v>
      </c>
    </row>
    <row r="7" spans="1:20">
      <c r="A7" s="17" t="s">
        <v>350</v>
      </c>
      <c r="B7" s="17" t="s">
        <v>92</v>
      </c>
      <c r="C7" s="14">
        <v>1000</v>
      </c>
      <c r="D7" s="14">
        <v>1</v>
      </c>
      <c r="E7" s="14">
        <v>500</v>
      </c>
      <c r="F7" s="14">
        <v>10</v>
      </c>
      <c r="G7" s="14">
        <v>510</v>
      </c>
      <c r="H7" s="14" t="s">
        <v>89</v>
      </c>
      <c r="I7" s="14">
        <v>52.1</v>
      </c>
      <c r="J7" s="11">
        <v>176</v>
      </c>
      <c r="K7" s="19">
        <v>5350</v>
      </c>
      <c r="L7" s="15">
        <f t="shared" si="0"/>
        <v>99.309021113243759</v>
      </c>
      <c r="M7" s="17" t="s">
        <v>92</v>
      </c>
    </row>
    <row r="8" spans="1:20">
      <c r="A8" s="17" t="s">
        <v>351</v>
      </c>
      <c r="B8" s="17" t="s">
        <v>94</v>
      </c>
      <c r="C8" s="14">
        <v>1000</v>
      </c>
      <c r="D8" s="14">
        <v>1</v>
      </c>
      <c r="E8" s="14">
        <v>500</v>
      </c>
      <c r="F8" s="14">
        <v>10</v>
      </c>
      <c r="G8" s="14">
        <v>510</v>
      </c>
      <c r="H8" s="14" t="s">
        <v>89</v>
      </c>
      <c r="I8" s="14">
        <v>52.1</v>
      </c>
      <c r="J8" s="11">
        <v>176</v>
      </c>
      <c r="K8" s="19">
        <v>4317</v>
      </c>
      <c r="L8" s="15">
        <f t="shared" si="0"/>
        <v>79.48176583493283</v>
      </c>
      <c r="M8" s="17" t="s">
        <v>94</v>
      </c>
      <c r="O8" t="s">
        <v>10</v>
      </c>
      <c r="Q8">
        <v>0</v>
      </c>
      <c r="R8">
        <v>6.5</v>
      </c>
      <c r="S8">
        <v>19.5</v>
      </c>
      <c r="T8">
        <v>25.5</v>
      </c>
    </row>
    <row r="9" spans="1:20">
      <c r="A9" s="17" t="s">
        <v>352</v>
      </c>
      <c r="B9" s="17" t="s">
        <v>444</v>
      </c>
      <c r="C9" s="14">
        <v>1000</v>
      </c>
      <c r="D9" s="14">
        <v>1</v>
      </c>
      <c r="E9" s="14">
        <v>500</v>
      </c>
      <c r="F9" s="14">
        <v>10</v>
      </c>
      <c r="G9" s="14">
        <v>510</v>
      </c>
      <c r="H9" s="14" t="s">
        <v>89</v>
      </c>
      <c r="I9" s="14">
        <v>52.1</v>
      </c>
      <c r="J9" s="11">
        <v>176</v>
      </c>
      <c r="K9" s="19">
        <v>4262</v>
      </c>
      <c r="L9" s="15">
        <f t="shared" si="0"/>
        <v>78.426103646833013</v>
      </c>
      <c r="M9" s="17" t="s">
        <v>96</v>
      </c>
      <c r="P9" t="s">
        <v>248</v>
      </c>
      <c r="Q9" s="16">
        <f>L51</f>
        <v>73.0806142034549</v>
      </c>
      <c r="R9" s="16">
        <f>L7</f>
        <v>99.309021113243759</v>
      </c>
      <c r="S9" s="16">
        <f>L29</f>
        <v>80.134357005758147</v>
      </c>
      <c r="T9" s="16">
        <f>L73</f>
        <v>90.366602687140102</v>
      </c>
    </row>
    <row r="10" spans="1:20">
      <c r="A10" s="17" t="s">
        <v>353</v>
      </c>
      <c r="B10" s="17" t="s">
        <v>98</v>
      </c>
      <c r="C10" s="14">
        <v>100</v>
      </c>
      <c r="D10" s="14">
        <v>1</v>
      </c>
      <c r="E10" s="14">
        <v>500</v>
      </c>
      <c r="F10" s="14">
        <v>10</v>
      </c>
      <c r="G10" s="14">
        <v>510</v>
      </c>
      <c r="H10" s="14" t="s">
        <v>89</v>
      </c>
      <c r="I10" s="14">
        <v>52.1</v>
      </c>
      <c r="J10" s="11">
        <v>176</v>
      </c>
      <c r="K10" s="19">
        <v>36133</v>
      </c>
      <c r="L10" s="15">
        <f t="shared" si="0"/>
        <v>69.015355086372367</v>
      </c>
      <c r="M10" s="17" t="s">
        <v>98</v>
      </c>
      <c r="P10" t="s">
        <v>249</v>
      </c>
      <c r="Q10" s="16">
        <f t="shared" ref="Q10:Q28" si="1">L52</f>
        <v>74.575815738963527</v>
      </c>
      <c r="R10" s="16">
        <f t="shared" ref="R10:R28" si="2">L8</f>
        <v>79.48176583493283</v>
      </c>
      <c r="S10" s="16">
        <f t="shared" ref="S10:S28" si="3">L30</f>
        <v>80.211132437619966</v>
      </c>
      <c r="T10" s="16">
        <f t="shared" ref="T10:T17" si="4">L74</f>
        <v>90.623800383877153</v>
      </c>
    </row>
    <row r="11" spans="1:20">
      <c r="A11" s="17" t="s">
        <v>354</v>
      </c>
      <c r="B11" s="17" t="s">
        <v>100</v>
      </c>
      <c r="C11" s="14">
        <v>100</v>
      </c>
      <c r="D11" s="14">
        <v>1</v>
      </c>
      <c r="E11" s="14">
        <v>500</v>
      </c>
      <c r="F11" s="14">
        <v>10</v>
      </c>
      <c r="G11" s="14">
        <v>510</v>
      </c>
      <c r="H11" s="14" t="s">
        <v>89</v>
      </c>
      <c r="I11" s="14">
        <v>52.1</v>
      </c>
      <c r="J11" s="11">
        <v>176</v>
      </c>
      <c r="K11" s="19">
        <v>37659</v>
      </c>
      <c r="L11" s="15">
        <f t="shared" si="0"/>
        <v>71.944337811900184</v>
      </c>
      <c r="M11" s="17" t="s">
        <v>100</v>
      </c>
      <c r="P11" t="s">
        <v>250</v>
      </c>
      <c r="Q11" s="16">
        <f t="shared" si="1"/>
        <v>73.401151631477916</v>
      </c>
      <c r="R11" s="16">
        <f t="shared" si="2"/>
        <v>78.426103646833013</v>
      </c>
      <c r="S11" s="16">
        <f t="shared" si="3"/>
        <v>80.671785028790794</v>
      </c>
      <c r="T11" s="16">
        <f t="shared" si="4"/>
        <v>89.35892514395394</v>
      </c>
    </row>
    <row r="12" spans="1:20">
      <c r="A12" s="17" t="s">
        <v>355</v>
      </c>
      <c r="B12" s="17" t="s">
        <v>102</v>
      </c>
      <c r="C12" s="14">
        <v>100</v>
      </c>
      <c r="D12" s="14">
        <v>1</v>
      </c>
      <c r="E12" s="14">
        <v>500</v>
      </c>
      <c r="F12" s="14">
        <v>10</v>
      </c>
      <c r="G12" s="14">
        <v>510</v>
      </c>
      <c r="H12" s="14" t="s">
        <v>89</v>
      </c>
      <c r="I12" s="14">
        <v>52.1</v>
      </c>
      <c r="J12" s="11">
        <v>176</v>
      </c>
      <c r="K12" s="19">
        <v>35477</v>
      </c>
      <c r="L12" s="15">
        <f t="shared" si="0"/>
        <v>67.756238003838774</v>
      </c>
      <c r="M12" s="17" t="s">
        <v>102</v>
      </c>
      <c r="P12" t="s">
        <v>251</v>
      </c>
      <c r="Q12" s="16">
        <f t="shared" si="1"/>
        <v>74.59692898272553</v>
      </c>
      <c r="R12" s="16">
        <f t="shared" si="2"/>
        <v>69.015355086372367</v>
      </c>
      <c r="S12" s="16">
        <f t="shared" si="3"/>
        <v>71.52207293666028</v>
      </c>
      <c r="T12" s="16">
        <f t="shared" si="4"/>
        <v>75.199616122840681</v>
      </c>
    </row>
    <row r="13" spans="1:20">
      <c r="A13" s="17" t="s">
        <v>356</v>
      </c>
      <c r="B13" s="17" t="s">
        <v>104</v>
      </c>
      <c r="C13" s="14">
        <v>100</v>
      </c>
      <c r="D13" s="14">
        <v>1</v>
      </c>
      <c r="E13" s="14">
        <v>500</v>
      </c>
      <c r="F13" s="14">
        <v>10</v>
      </c>
      <c r="G13" s="14">
        <v>510</v>
      </c>
      <c r="H13" s="14" t="s">
        <v>89</v>
      </c>
      <c r="I13" s="14">
        <v>52.1</v>
      </c>
      <c r="J13" s="11">
        <v>176</v>
      </c>
      <c r="K13" s="19">
        <v>34637</v>
      </c>
      <c r="L13" s="15">
        <f t="shared" si="0"/>
        <v>66.143953934740878</v>
      </c>
      <c r="M13" s="17" t="s">
        <v>104</v>
      </c>
      <c r="P13" t="s">
        <v>252</v>
      </c>
      <c r="Q13" s="16">
        <f t="shared" si="1"/>
        <v>65.383877159309023</v>
      </c>
      <c r="R13" s="16">
        <f t="shared" si="2"/>
        <v>71.944337811900184</v>
      </c>
      <c r="S13" s="16">
        <f t="shared" si="3"/>
        <v>72.648752399232251</v>
      </c>
      <c r="T13" s="16">
        <f t="shared" si="4"/>
        <v>75.648752399232251</v>
      </c>
    </row>
    <row r="14" spans="1:20">
      <c r="A14" s="17" t="s">
        <v>357</v>
      </c>
      <c r="B14" s="17" t="s">
        <v>106</v>
      </c>
      <c r="C14" s="14">
        <v>100</v>
      </c>
      <c r="D14" s="14">
        <v>1</v>
      </c>
      <c r="E14" s="14">
        <v>500</v>
      </c>
      <c r="F14" s="14">
        <v>10</v>
      </c>
      <c r="G14" s="14">
        <v>510</v>
      </c>
      <c r="H14" s="14" t="s">
        <v>89</v>
      </c>
      <c r="I14" s="14">
        <v>52.1</v>
      </c>
      <c r="J14" s="11">
        <v>176</v>
      </c>
      <c r="K14" s="19">
        <v>34710</v>
      </c>
      <c r="L14" s="15">
        <f t="shared" si="0"/>
        <v>66.284069097888676</v>
      </c>
      <c r="M14" s="17" t="s">
        <v>106</v>
      </c>
      <c r="P14" t="s">
        <v>253</v>
      </c>
      <c r="Q14" s="16">
        <f t="shared" si="1"/>
        <v>69.404990403071011</v>
      </c>
      <c r="R14" s="16">
        <f t="shared" si="2"/>
        <v>67.756238003838774</v>
      </c>
      <c r="S14" s="16">
        <f t="shared" si="3"/>
        <v>76.702495201535513</v>
      </c>
      <c r="T14" s="16">
        <f t="shared" si="4"/>
        <v>82.216890595009602</v>
      </c>
    </row>
    <row r="15" spans="1:20">
      <c r="A15" s="17" t="s">
        <v>358</v>
      </c>
      <c r="B15" s="17" t="s">
        <v>108</v>
      </c>
      <c r="C15" s="14">
        <v>100</v>
      </c>
      <c r="D15" s="14">
        <v>1</v>
      </c>
      <c r="E15" s="14">
        <v>500</v>
      </c>
      <c r="F15" s="14">
        <v>10</v>
      </c>
      <c r="G15" s="14">
        <v>510</v>
      </c>
      <c r="H15" s="14" t="s">
        <v>89</v>
      </c>
      <c r="I15" s="14">
        <v>52.1</v>
      </c>
      <c r="J15" s="11">
        <v>176</v>
      </c>
      <c r="K15" s="19">
        <v>35177</v>
      </c>
      <c r="L15" s="15">
        <f t="shared" si="0"/>
        <v>67.180422264875233</v>
      </c>
      <c r="M15" s="17" t="s">
        <v>108</v>
      </c>
      <c r="P15" t="s">
        <v>254</v>
      </c>
      <c r="Q15" s="16">
        <f>L82</f>
        <v>58.610364683301334</v>
      </c>
      <c r="R15" s="16">
        <f t="shared" si="2"/>
        <v>66.143953934740878</v>
      </c>
      <c r="S15" s="16">
        <f t="shared" si="3"/>
        <v>74.87715930902111</v>
      </c>
      <c r="T15" s="16">
        <f t="shared" si="4"/>
        <v>76.241842610364685</v>
      </c>
    </row>
    <row r="16" spans="1:20">
      <c r="A16" s="17" t="s">
        <v>359</v>
      </c>
      <c r="B16" s="17" t="s">
        <v>347</v>
      </c>
      <c r="C16" s="14"/>
      <c r="D16" s="14">
        <v>1</v>
      </c>
      <c r="E16" s="14">
        <v>500</v>
      </c>
      <c r="F16" s="14">
        <v>10</v>
      </c>
      <c r="G16" s="14">
        <v>510</v>
      </c>
      <c r="H16" s="14" t="s">
        <v>89</v>
      </c>
      <c r="I16" s="14">
        <v>52.1</v>
      </c>
      <c r="J16" s="11"/>
      <c r="K16" s="19">
        <v>654</v>
      </c>
      <c r="L16" s="15">
        <f t="shared" si="0"/>
        <v>0</v>
      </c>
      <c r="M16" s="17" t="s">
        <v>347</v>
      </c>
      <c r="P16" t="s">
        <v>255</v>
      </c>
      <c r="Q16" s="16">
        <f t="shared" si="1"/>
        <v>65.516314779270644</v>
      </c>
      <c r="R16" s="16">
        <f t="shared" si="2"/>
        <v>66.284069097888676</v>
      </c>
      <c r="S16" s="16">
        <f t="shared" si="3"/>
        <v>73.689059500959701</v>
      </c>
      <c r="T16" s="16">
        <f t="shared" si="4"/>
        <v>76.888675623800381</v>
      </c>
    </row>
    <row r="17" spans="1:20">
      <c r="A17" s="17" t="s">
        <v>360</v>
      </c>
      <c r="B17" s="17" t="s">
        <v>349</v>
      </c>
      <c r="C17" s="14"/>
      <c r="D17" s="14">
        <v>1</v>
      </c>
      <c r="E17" s="14">
        <v>500</v>
      </c>
      <c r="F17" s="14">
        <v>10</v>
      </c>
      <c r="G17" s="14">
        <v>510</v>
      </c>
      <c r="H17" s="14" t="s">
        <v>89</v>
      </c>
      <c r="I17" s="14">
        <v>52.1</v>
      </c>
      <c r="J17" s="11"/>
      <c r="K17" s="19">
        <v>410</v>
      </c>
      <c r="L17" s="15">
        <f t="shared" si="0"/>
        <v>0</v>
      </c>
      <c r="M17" s="17" t="s">
        <v>349</v>
      </c>
      <c r="P17" t="s">
        <v>256</v>
      </c>
      <c r="Q17" s="16">
        <f t="shared" si="1"/>
        <v>65.134357005758147</v>
      </c>
      <c r="R17" s="16">
        <f t="shared" si="2"/>
        <v>67.180422264875233</v>
      </c>
      <c r="S17" s="16">
        <f t="shared" si="3"/>
        <v>75.934740882917467</v>
      </c>
      <c r="T17" s="16">
        <f t="shared" si="4"/>
        <v>78.562380038387715</v>
      </c>
    </row>
    <row r="18" spans="1:20">
      <c r="A18" s="17" t="s">
        <v>361</v>
      </c>
      <c r="B18" s="17" t="s">
        <v>110</v>
      </c>
      <c r="C18" s="14">
        <v>1000</v>
      </c>
      <c r="D18" s="14">
        <v>1</v>
      </c>
      <c r="E18" s="14">
        <v>500</v>
      </c>
      <c r="F18" s="14">
        <v>10</v>
      </c>
      <c r="G18" s="14">
        <v>510</v>
      </c>
      <c r="H18" s="14" t="s">
        <v>89</v>
      </c>
      <c r="I18" s="14">
        <v>52.1</v>
      </c>
      <c r="J18" s="11">
        <v>410</v>
      </c>
      <c r="K18" s="19">
        <v>2251</v>
      </c>
      <c r="L18" s="15">
        <f t="shared" si="0"/>
        <v>35.335892514395397</v>
      </c>
      <c r="M18" s="17" t="s">
        <v>110</v>
      </c>
      <c r="Q18" s="16"/>
      <c r="R18" s="16"/>
      <c r="S18" s="16"/>
    </row>
    <row r="19" spans="1:20">
      <c r="A19" s="17" t="s">
        <v>362</v>
      </c>
      <c r="B19" s="17" t="s">
        <v>112</v>
      </c>
      <c r="C19" s="14">
        <v>1000</v>
      </c>
      <c r="D19" s="14">
        <v>1</v>
      </c>
      <c r="E19" s="14">
        <v>500</v>
      </c>
      <c r="F19" s="14">
        <v>10</v>
      </c>
      <c r="G19" s="14">
        <v>510</v>
      </c>
      <c r="H19" s="14" t="s">
        <v>89</v>
      </c>
      <c r="I19" s="14">
        <v>52.1</v>
      </c>
      <c r="J19" s="11">
        <v>410</v>
      </c>
      <c r="K19" s="19">
        <v>2110</v>
      </c>
      <c r="L19" s="15">
        <f t="shared" si="0"/>
        <v>32.629558541266789</v>
      </c>
      <c r="M19" s="17" t="s">
        <v>112</v>
      </c>
      <c r="O19" t="s">
        <v>16</v>
      </c>
      <c r="Q19" s="16">
        <v>0</v>
      </c>
      <c r="R19" s="16">
        <v>6.5</v>
      </c>
      <c r="S19" s="16">
        <v>19.5</v>
      </c>
      <c r="T19" s="16">
        <v>25.5</v>
      </c>
    </row>
    <row r="20" spans="1:20">
      <c r="A20" s="17" t="s">
        <v>363</v>
      </c>
      <c r="B20" s="17" t="s">
        <v>114</v>
      </c>
      <c r="C20" s="14">
        <v>1000</v>
      </c>
      <c r="D20" s="14">
        <v>1</v>
      </c>
      <c r="E20" s="14">
        <v>500</v>
      </c>
      <c r="F20" s="14">
        <v>10</v>
      </c>
      <c r="G20" s="14">
        <v>510</v>
      </c>
      <c r="H20" s="14" t="s">
        <v>89</v>
      </c>
      <c r="I20" s="14">
        <v>52.1</v>
      </c>
      <c r="J20" s="11">
        <v>410</v>
      </c>
      <c r="K20" s="19">
        <v>1991</v>
      </c>
      <c r="L20" s="15">
        <f t="shared" si="0"/>
        <v>30.345489443378121</v>
      </c>
      <c r="M20" s="17" t="s">
        <v>114</v>
      </c>
      <c r="P20" t="s">
        <v>257</v>
      </c>
      <c r="Q20" s="16">
        <f t="shared" si="1"/>
        <v>33.666026871401151</v>
      </c>
      <c r="R20" s="16">
        <f t="shared" si="2"/>
        <v>35.335892514395397</v>
      </c>
      <c r="S20" s="16">
        <f t="shared" si="3"/>
        <v>36.763915547024951</v>
      </c>
      <c r="T20" s="16">
        <f t="shared" ref="T20:T28" si="5">L85</f>
        <v>41.961612284069098</v>
      </c>
    </row>
    <row r="21" spans="1:20">
      <c r="A21" s="17" t="s">
        <v>364</v>
      </c>
      <c r="B21" s="17" t="s">
        <v>116</v>
      </c>
      <c r="C21" s="14">
        <v>100</v>
      </c>
      <c r="D21" s="14">
        <v>1</v>
      </c>
      <c r="E21" s="14">
        <v>500</v>
      </c>
      <c r="F21" s="14">
        <v>10</v>
      </c>
      <c r="G21" s="14">
        <v>510</v>
      </c>
      <c r="H21" s="14" t="s">
        <v>89</v>
      </c>
      <c r="I21" s="14">
        <v>52.1</v>
      </c>
      <c r="J21" s="11">
        <v>410</v>
      </c>
      <c r="K21" s="19">
        <v>16090</v>
      </c>
      <c r="L21" s="15">
        <f t="shared" si="0"/>
        <v>30.095969289827252</v>
      </c>
      <c r="M21" s="17" t="s">
        <v>116</v>
      </c>
      <c r="P21" t="s">
        <v>258</v>
      </c>
      <c r="Q21" s="16">
        <f t="shared" si="1"/>
        <v>32.061420345489445</v>
      </c>
      <c r="R21" s="16">
        <f t="shared" si="2"/>
        <v>32.629558541266789</v>
      </c>
      <c r="S21" s="16">
        <f t="shared" si="3"/>
        <v>39.533589251439544</v>
      </c>
      <c r="T21" s="16">
        <f t="shared" si="5"/>
        <v>43.809980806142029</v>
      </c>
    </row>
    <row r="22" spans="1:20">
      <c r="A22" s="17" t="s">
        <v>365</v>
      </c>
      <c r="B22" s="17" t="s">
        <v>281</v>
      </c>
      <c r="C22" s="14">
        <v>100</v>
      </c>
      <c r="D22" s="14">
        <v>1</v>
      </c>
      <c r="E22" s="14">
        <v>500</v>
      </c>
      <c r="F22" s="14">
        <v>10</v>
      </c>
      <c r="G22" s="14">
        <v>510</v>
      </c>
      <c r="H22" s="14" t="s">
        <v>89</v>
      </c>
      <c r="I22" s="14">
        <v>52.1</v>
      </c>
      <c r="J22" s="11">
        <v>410</v>
      </c>
      <c r="K22" s="19">
        <v>16413</v>
      </c>
      <c r="L22" s="15">
        <f t="shared" si="0"/>
        <v>30.715930902111324</v>
      </c>
      <c r="M22" s="17" t="s">
        <v>281</v>
      </c>
      <c r="P22" t="s">
        <v>259</v>
      </c>
      <c r="Q22" s="16">
        <f t="shared" si="1"/>
        <v>33.660268714011522</v>
      </c>
      <c r="R22" s="16">
        <f t="shared" si="2"/>
        <v>30.345489443378121</v>
      </c>
      <c r="S22" s="16">
        <f t="shared" si="3"/>
        <v>36.406909788867566</v>
      </c>
      <c r="T22" s="16">
        <f t="shared" si="5"/>
        <v>43.380038387715935</v>
      </c>
    </row>
    <row r="23" spans="1:20">
      <c r="A23" s="17" t="s">
        <v>366</v>
      </c>
      <c r="B23" s="17" t="s">
        <v>283</v>
      </c>
      <c r="C23" s="14">
        <v>100</v>
      </c>
      <c r="D23" s="14">
        <v>1</v>
      </c>
      <c r="E23" s="14">
        <v>500</v>
      </c>
      <c r="F23" s="14">
        <v>10</v>
      </c>
      <c r="G23" s="14">
        <v>510</v>
      </c>
      <c r="H23" s="14" t="s">
        <v>89</v>
      </c>
      <c r="I23" s="14">
        <v>52.1</v>
      </c>
      <c r="J23" s="11">
        <v>410</v>
      </c>
      <c r="K23" s="19">
        <v>15842</v>
      </c>
      <c r="L23" s="15">
        <f t="shared" si="0"/>
        <v>29.619961612284069</v>
      </c>
      <c r="M23" s="17" t="s">
        <v>283</v>
      </c>
      <c r="P23" t="s">
        <v>260</v>
      </c>
      <c r="Q23" s="16">
        <f t="shared" si="1"/>
        <v>27.932821497120923</v>
      </c>
      <c r="R23" s="16">
        <f t="shared" si="2"/>
        <v>30.095969289827252</v>
      </c>
      <c r="S23" s="16">
        <f t="shared" si="3"/>
        <v>35.138195777351243</v>
      </c>
      <c r="T23" s="16">
        <f t="shared" si="5"/>
        <v>32.896353166986565</v>
      </c>
    </row>
    <row r="24" spans="1:20">
      <c r="A24" s="17" t="s">
        <v>367</v>
      </c>
      <c r="B24" s="17" t="s">
        <v>122</v>
      </c>
      <c r="C24" s="14">
        <v>100</v>
      </c>
      <c r="D24" s="14">
        <v>1</v>
      </c>
      <c r="E24" s="14">
        <v>500</v>
      </c>
      <c r="F24" s="14">
        <v>10</v>
      </c>
      <c r="G24" s="14">
        <v>510</v>
      </c>
      <c r="H24" s="14" t="s">
        <v>89</v>
      </c>
      <c r="I24" s="14">
        <v>52.1</v>
      </c>
      <c r="J24" s="11">
        <v>410</v>
      </c>
      <c r="K24" s="19">
        <v>15313</v>
      </c>
      <c r="L24" s="15">
        <f t="shared" si="0"/>
        <v>28.604606525911702</v>
      </c>
      <c r="M24" s="17" t="s">
        <v>122</v>
      </c>
      <c r="P24" t="s">
        <v>261</v>
      </c>
      <c r="Q24" s="16">
        <f t="shared" si="1"/>
        <v>26.723608445297501</v>
      </c>
      <c r="R24" s="16">
        <f t="shared" si="2"/>
        <v>30.715930902111324</v>
      </c>
      <c r="S24" s="16">
        <f t="shared" si="3"/>
        <v>33.562380038387715</v>
      </c>
      <c r="T24" s="16">
        <f t="shared" si="5"/>
        <v>36.669865642994239</v>
      </c>
    </row>
    <row r="25" spans="1:20">
      <c r="A25" s="17" t="s">
        <v>368</v>
      </c>
      <c r="B25" s="17" t="s">
        <v>124</v>
      </c>
      <c r="C25" s="14">
        <v>100</v>
      </c>
      <c r="D25" s="14">
        <v>1</v>
      </c>
      <c r="E25" s="14">
        <v>500</v>
      </c>
      <c r="F25" s="14">
        <v>10</v>
      </c>
      <c r="G25" s="14">
        <v>510</v>
      </c>
      <c r="H25" s="14" t="s">
        <v>89</v>
      </c>
      <c r="I25" s="14">
        <v>52.1</v>
      </c>
      <c r="J25" s="11">
        <v>410</v>
      </c>
      <c r="K25" s="19">
        <v>15505</v>
      </c>
      <c r="L25" s="15">
        <f t="shared" si="0"/>
        <v>28.973128598848369</v>
      </c>
      <c r="M25" s="17" t="s">
        <v>124</v>
      </c>
      <c r="P25" t="s">
        <v>262</v>
      </c>
      <c r="Q25" s="16">
        <f t="shared" si="1"/>
        <v>32.017274472168907</v>
      </c>
      <c r="R25" s="16">
        <f t="shared" si="2"/>
        <v>29.619961612284069</v>
      </c>
      <c r="S25" s="16">
        <f t="shared" si="3"/>
        <v>30.577735124760075</v>
      </c>
      <c r="T25" s="16">
        <f t="shared" si="5"/>
        <v>36.474088291746639</v>
      </c>
    </row>
    <row r="26" spans="1:20">
      <c r="A26" s="17" t="s">
        <v>369</v>
      </c>
      <c r="B26" s="17" t="s">
        <v>126</v>
      </c>
      <c r="C26" s="14">
        <v>100</v>
      </c>
      <c r="D26" s="14">
        <v>1</v>
      </c>
      <c r="E26" s="14">
        <v>500</v>
      </c>
      <c r="F26" s="14">
        <v>10</v>
      </c>
      <c r="G26" s="14">
        <v>510</v>
      </c>
      <c r="H26" s="14" t="s">
        <v>89</v>
      </c>
      <c r="I26" s="14">
        <v>52.1</v>
      </c>
      <c r="J26" s="11">
        <v>410</v>
      </c>
      <c r="K26" s="19">
        <v>16437</v>
      </c>
      <c r="L26" s="15">
        <f t="shared" si="0"/>
        <v>30.761996161228407</v>
      </c>
      <c r="M26" s="17" t="s">
        <v>126</v>
      </c>
      <c r="P26" t="s">
        <v>263</v>
      </c>
      <c r="Q26" s="16">
        <f t="shared" si="1"/>
        <v>27.257197696737045</v>
      </c>
      <c r="R26" s="16">
        <f t="shared" si="2"/>
        <v>28.604606525911702</v>
      </c>
      <c r="S26" s="16">
        <f t="shared" si="3"/>
        <v>33.155470249520157</v>
      </c>
      <c r="T26" s="16">
        <f t="shared" si="5"/>
        <v>35.539347408829173</v>
      </c>
    </row>
    <row r="27" spans="1:20">
      <c r="A27" s="17" t="s">
        <v>370</v>
      </c>
      <c r="B27" s="17" t="s">
        <v>347</v>
      </c>
      <c r="C27" s="14"/>
      <c r="D27" s="14">
        <v>1</v>
      </c>
      <c r="E27" s="14">
        <v>500</v>
      </c>
      <c r="F27" s="14">
        <v>10</v>
      </c>
      <c r="G27" s="14">
        <v>510</v>
      </c>
      <c r="H27" s="14" t="s">
        <v>89</v>
      </c>
      <c r="I27" s="14">
        <v>52.1</v>
      </c>
      <c r="J27" s="11"/>
      <c r="K27" s="19">
        <v>989</v>
      </c>
      <c r="L27" s="15">
        <f t="shared" si="0"/>
        <v>0</v>
      </c>
      <c r="M27" s="17" t="s">
        <v>347</v>
      </c>
      <c r="P27" t="s">
        <v>264</v>
      </c>
      <c r="Q27" s="16">
        <f t="shared" si="1"/>
        <v>28.228406909788866</v>
      </c>
      <c r="R27" s="16">
        <f t="shared" si="2"/>
        <v>28.973128598848369</v>
      </c>
      <c r="S27" s="16">
        <f t="shared" si="3"/>
        <v>32.992322456813817</v>
      </c>
      <c r="T27" s="16">
        <f t="shared" si="5"/>
        <v>34.072936660268716</v>
      </c>
    </row>
    <row r="28" spans="1:20">
      <c r="A28" s="17" t="s">
        <v>371</v>
      </c>
      <c r="B28" s="17" t="s">
        <v>349</v>
      </c>
      <c r="C28" s="14"/>
      <c r="D28" s="14">
        <v>1</v>
      </c>
      <c r="E28" s="14">
        <v>500</v>
      </c>
      <c r="F28" s="14">
        <v>10</v>
      </c>
      <c r="G28" s="14">
        <v>510</v>
      </c>
      <c r="H28" s="14" t="s">
        <v>89</v>
      </c>
      <c r="I28" s="14">
        <v>52.1</v>
      </c>
      <c r="J28" s="11"/>
      <c r="K28" s="19">
        <v>723</v>
      </c>
      <c r="L28" s="15">
        <f t="shared" si="0"/>
        <v>0</v>
      </c>
      <c r="M28" s="17" t="s">
        <v>349</v>
      </c>
      <c r="P28" t="s">
        <v>265</v>
      </c>
      <c r="Q28" s="16">
        <f t="shared" si="1"/>
        <v>27.343570057581573</v>
      </c>
      <c r="R28" s="16">
        <f t="shared" si="2"/>
        <v>30.761996161228407</v>
      </c>
      <c r="S28" s="16">
        <f t="shared" si="3"/>
        <v>31.627639155470249</v>
      </c>
      <c r="T28" s="16">
        <f t="shared" si="5"/>
        <v>33.81957773512476</v>
      </c>
    </row>
    <row r="29" spans="1:20">
      <c r="A29" s="17" t="s">
        <v>372</v>
      </c>
      <c r="B29" s="17" t="s">
        <v>164</v>
      </c>
      <c r="C29" s="14">
        <v>1000</v>
      </c>
      <c r="D29" s="14">
        <v>1</v>
      </c>
      <c r="E29" s="14">
        <v>500</v>
      </c>
      <c r="F29" s="14">
        <v>10</v>
      </c>
      <c r="G29" s="14">
        <v>510</v>
      </c>
      <c r="H29" s="14" t="s">
        <v>89</v>
      </c>
      <c r="I29" s="14">
        <v>52.1</v>
      </c>
      <c r="J29" s="11">
        <v>723</v>
      </c>
      <c r="K29" s="19">
        <v>4898</v>
      </c>
      <c r="L29" s="15">
        <f t="shared" si="0"/>
        <v>80.134357005758147</v>
      </c>
      <c r="M29" s="17" t="s">
        <v>164</v>
      </c>
    </row>
    <row r="30" spans="1:20">
      <c r="A30" s="17" t="s">
        <v>373</v>
      </c>
      <c r="B30" s="17" t="s">
        <v>166</v>
      </c>
      <c r="C30" s="14">
        <v>1000</v>
      </c>
      <c r="D30" s="14">
        <v>1</v>
      </c>
      <c r="E30" s="14">
        <v>500</v>
      </c>
      <c r="F30" s="14">
        <v>10</v>
      </c>
      <c r="G30" s="14">
        <v>510</v>
      </c>
      <c r="H30" s="14" t="s">
        <v>89</v>
      </c>
      <c r="I30" s="14">
        <v>52.1</v>
      </c>
      <c r="J30" s="11">
        <v>723</v>
      </c>
      <c r="K30" s="19">
        <v>4902</v>
      </c>
      <c r="L30" s="15">
        <f t="shared" si="0"/>
        <v>80.211132437619966</v>
      </c>
      <c r="M30" s="17" t="s">
        <v>166</v>
      </c>
      <c r="T30" s="16"/>
    </row>
    <row r="31" spans="1:20">
      <c r="A31" s="17" t="s">
        <v>374</v>
      </c>
      <c r="B31" s="17" t="s">
        <v>168</v>
      </c>
      <c r="C31" s="14">
        <v>1000</v>
      </c>
      <c r="D31" s="14">
        <v>1</v>
      </c>
      <c r="E31" s="14">
        <v>500</v>
      </c>
      <c r="F31" s="14">
        <v>10</v>
      </c>
      <c r="G31" s="14">
        <v>510</v>
      </c>
      <c r="H31" s="14" t="s">
        <v>89</v>
      </c>
      <c r="I31" s="14">
        <v>52.1</v>
      </c>
      <c r="J31" s="11">
        <v>723</v>
      </c>
      <c r="K31" s="19">
        <v>4926</v>
      </c>
      <c r="L31" s="15">
        <f t="shared" si="0"/>
        <v>80.671785028790794</v>
      </c>
      <c r="M31" s="17" t="s">
        <v>168</v>
      </c>
    </row>
    <row r="32" spans="1:20">
      <c r="A32" s="17" t="s">
        <v>375</v>
      </c>
      <c r="B32" s="17" t="s">
        <v>170</v>
      </c>
      <c r="C32" s="14">
        <v>100</v>
      </c>
      <c r="D32" s="14">
        <v>1</v>
      </c>
      <c r="E32" s="14">
        <v>500</v>
      </c>
      <c r="F32" s="14">
        <v>10</v>
      </c>
      <c r="G32" s="14">
        <v>510</v>
      </c>
      <c r="H32" s="14" t="s">
        <v>89</v>
      </c>
      <c r="I32" s="14">
        <v>52.1</v>
      </c>
      <c r="J32" s="11">
        <v>723</v>
      </c>
      <c r="K32" s="19">
        <v>37986</v>
      </c>
      <c r="L32" s="15">
        <f t="shared" si="0"/>
        <v>71.52207293666028</v>
      </c>
      <c r="M32" s="17" t="s">
        <v>170</v>
      </c>
    </row>
    <row r="33" spans="1:13">
      <c r="A33" s="17" t="s">
        <v>376</v>
      </c>
      <c r="B33" s="17" t="s">
        <v>172</v>
      </c>
      <c r="C33" s="14">
        <v>100</v>
      </c>
      <c r="D33" s="14">
        <v>1</v>
      </c>
      <c r="E33" s="14">
        <v>500</v>
      </c>
      <c r="F33" s="14">
        <v>10</v>
      </c>
      <c r="G33" s="14">
        <v>510</v>
      </c>
      <c r="H33" s="14" t="s">
        <v>89</v>
      </c>
      <c r="I33" s="14">
        <v>52.1</v>
      </c>
      <c r="J33" s="11">
        <v>723</v>
      </c>
      <c r="K33" s="19">
        <v>38573</v>
      </c>
      <c r="L33" s="15">
        <f t="shared" si="0"/>
        <v>72.648752399232251</v>
      </c>
      <c r="M33" s="17" t="s">
        <v>172</v>
      </c>
    </row>
    <row r="34" spans="1:13">
      <c r="A34" s="17" t="s">
        <v>377</v>
      </c>
      <c r="B34" s="17" t="s">
        <v>174</v>
      </c>
      <c r="C34" s="14">
        <v>100</v>
      </c>
      <c r="D34" s="14">
        <v>1</v>
      </c>
      <c r="E34" s="14">
        <v>500</v>
      </c>
      <c r="F34" s="14">
        <v>10</v>
      </c>
      <c r="G34" s="14">
        <v>510</v>
      </c>
      <c r="H34" s="14" t="s">
        <v>89</v>
      </c>
      <c r="I34" s="14">
        <v>52.1</v>
      </c>
      <c r="J34" s="11">
        <v>723</v>
      </c>
      <c r="K34" s="19">
        <v>40685</v>
      </c>
      <c r="L34" s="15">
        <f t="shared" si="0"/>
        <v>76.702495201535513</v>
      </c>
      <c r="M34" s="17" t="s">
        <v>174</v>
      </c>
    </row>
    <row r="35" spans="1:13">
      <c r="A35" s="17" t="s">
        <v>378</v>
      </c>
      <c r="B35" s="17" t="s">
        <v>176</v>
      </c>
      <c r="C35" s="14">
        <v>100</v>
      </c>
      <c r="D35" s="14">
        <v>1</v>
      </c>
      <c r="E35" s="14">
        <v>500</v>
      </c>
      <c r="F35" s="14">
        <v>10</v>
      </c>
      <c r="G35" s="14">
        <v>510</v>
      </c>
      <c r="H35" s="14" t="s">
        <v>89</v>
      </c>
      <c r="I35" s="14">
        <v>52.1</v>
      </c>
      <c r="J35" s="11">
        <v>723</v>
      </c>
      <c r="K35" s="19">
        <v>39734</v>
      </c>
      <c r="L35" s="15">
        <f t="shared" si="0"/>
        <v>74.87715930902111</v>
      </c>
      <c r="M35" s="17" t="s">
        <v>176</v>
      </c>
    </row>
    <row r="36" spans="1:13">
      <c r="A36" s="17" t="s">
        <v>379</v>
      </c>
      <c r="B36" s="17" t="s">
        <v>178</v>
      </c>
      <c r="C36" s="14">
        <v>100</v>
      </c>
      <c r="D36" s="14">
        <v>1</v>
      </c>
      <c r="E36" s="14">
        <v>500</v>
      </c>
      <c r="F36" s="14">
        <v>10</v>
      </c>
      <c r="G36" s="14">
        <v>510</v>
      </c>
      <c r="H36" s="14" t="s">
        <v>89</v>
      </c>
      <c r="I36" s="14">
        <v>52.1</v>
      </c>
      <c r="J36" s="11">
        <v>723</v>
      </c>
      <c r="K36" s="19">
        <v>39115</v>
      </c>
      <c r="L36" s="15">
        <f t="shared" si="0"/>
        <v>73.689059500959701</v>
      </c>
      <c r="M36" s="17" t="s">
        <v>178</v>
      </c>
    </row>
    <row r="37" spans="1:13">
      <c r="A37" s="17" t="s">
        <v>380</v>
      </c>
      <c r="B37" s="17" t="s">
        <v>180</v>
      </c>
      <c r="C37" s="14">
        <v>100</v>
      </c>
      <c r="D37" s="14">
        <v>1</v>
      </c>
      <c r="E37" s="14">
        <v>500</v>
      </c>
      <c r="F37" s="14">
        <v>10</v>
      </c>
      <c r="G37" s="14">
        <v>510</v>
      </c>
      <c r="H37" s="14" t="s">
        <v>89</v>
      </c>
      <c r="I37" s="14">
        <v>52.1</v>
      </c>
      <c r="J37" s="11">
        <v>723</v>
      </c>
      <c r="K37" s="19">
        <v>40285</v>
      </c>
      <c r="L37" s="15">
        <f t="shared" si="0"/>
        <v>75.934740882917467</v>
      </c>
      <c r="M37" s="17" t="s">
        <v>180</v>
      </c>
    </row>
    <row r="38" spans="1:13">
      <c r="A38" s="17" t="s">
        <v>381</v>
      </c>
      <c r="B38" s="17" t="s">
        <v>347</v>
      </c>
      <c r="C38" s="14"/>
      <c r="D38" s="14">
        <v>1</v>
      </c>
      <c r="E38" s="14">
        <v>500</v>
      </c>
      <c r="F38" s="14">
        <v>10</v>
      </c>
      <c r="G38" s="14">
        <v>510</v>
      </c>
      <c r="H38" s="14" t="s">
        <v>89</v>
      </c>
      <c r="I38" s="14">
        <v>52.1</v>
      </c>
      <c r="J38" s="11"/>
      <c r="K38" s="19">
        <v>481</v>
      </c>
      <c r="L38" s="15">
        <f t="shared" si="0"/>
        <v>0</v>
      </c>
      <c r="M38" s="17" t="s">
        <v>347</v>
      </c>
    </row>
    <row r="39" spans="1:13">
      <c r="A39" s="17" t="s">
        <v>382</v>
      </c>
      <c r="B39" s="17" t="s">
        <v>349</v>
      </c>
      <c r="C39" s="14"/>
      <c r="D39" s="14">
        <v>1</v>
      </c>
      <c r="E39" s="14">
        <v>500</v>
      </c>
      <c r="F39" s="14">
        <v>10</v>
      </c>
      <c r="G39" s="14">
        <v>510</v>
      </c>
      <c r="H39" s="14" t="s">
        <v>89</v>
      </c>
      <c r="I39" s="14">
        <v>52.1</v>
      </c>
      <c r="J39" s="11"/>
      <c r="K39" s="19">
        <v>444</v>
      </c>
      <c r="L39" s="15">
        <f t="shared" si="0"/>
        <v>0</v>
      </c>
      <c r="M39" s="17" t="s">
        <v>349</v>
      </c>
    </row>
    <row r="40" spans="1:13">
      <c r="A40" s="17" t="s">
        <v>383</v>
      </c>
      <c r="B40" s="17" t="s">
        <v>182</v>
      </c>
      <c r="C40" s="14">
        <v>100</v>
      </c>
      <c r="D40" s="14">
        <v>1</v>
      </c>
      <c r="E40" s="14">
        <v>500</v>
      </c>
      <c r="F40" s="14">
        <v>10</v>
      </c>
      <c r="G40" s="14">
        <v>510</v>
      </c>
      <c r="H40" s="14" t="s">
        <v>89</v>
      </c>
      <c r="I40" s="14">
        <v>52.1</v>
      </c>
      <c r="J40" s="11">
        <v>444</v>
      </c>
      <c r="K40" s="19">
        <v>19598</v>
      </c>
      <c r="L40" s="15">
        <f t="shared" si="0"/>
        <v>36.763915547024951</v>
      </c>
      <c r="M40" s="17" t="s">
        <v>182</v>
      </c>
    </row>
    <row r="41" spans="1:13">
      <c r="A41" s="17" t="s">
        <v>384</v>
      </c>
      <c r="B41" s="17" t="s">
        <v>184</v>
      </c>
      <c r="C41" s="14">
        <v>100</v>
      </c>
      <c r="D41" s="14">
        <v>1</v>
      </c>
      <c r="E41" s="14">
        <v>500</v>
      </c>
      <c r="F41" s="14">
        <v>10</v>
      </c>
      <c r="G41" s="14">
        <v>510</v>
      </c>
      <c r="H41" s="14" t="s">
        <v>89</v>
      </c>
      <c r="I41" s="14">
        <v>52.1</v>
      </c>
      <c r="J41" s="11">
        <v>444</v>
      </c>
      <c r="K41" s="19">
        <v>21041</v>
      </c>
      <c r="L41" s="15">
        <f t="shared" si="0"/>
        <v>39.533589251439544</v>
      </c>
      <c r="M41" s="17" t="s">
        <v>184</v>
      </c>
    </row>
    <row r="42" spans="1:13">
      <c r="A42" s="17" t="s">
        <v>385</v>
      </c>
      <c r="B42" s="17" t="s">
        <v>186</v>
      </c>
      <c r="C42" s="14">
        <v>100</v>
      </c>
      <c r="D42" s="14">
        <v>1</v>
      </c>
      <c r="E42" s="14">
        <v>500</v>
      </c>
      <c r="F42" s="14">
        <v>10</v>
      </c>
      <c r="G42" s="14">
        <v>510</v>
      </c>
      <c r="H42" s="14" t="s">
        <v>89</v>
      </c>
      <c r="I42" s="14">
        <v>52.1</v>
      </c>
      <c r="J42" s="11">
        <v>444</v>
      </c>
      <c r="K42" s="19">
        <v>19412</v>
      </c>
      <c r="L42" s="15">
        <f t="shared" si="0"/>
        <v>36.406909788867566</v>
      </c>
      <c r="M42" s="17" t="s">
        <v>186</v>
      </c>
    </row>
    <row r="43" spans="1:13">
      <c r="A43" s="17" t="s">
        <v>386</v>
      </c>
      <c r="B43" s="17" t="s">
        <v>188</v>
      </c>
      <c r="C43" s="14">
        <v>100</v>
      </c>
      <c r="D43" s="14">
        <v>1</v>
      </c>
      <c r="E43" s="14">
        <v>500</v>
      </c>
      <c r="F43" s="14">
        <v>10</v>
      </c>
      <c r="G43" s="14">
        <v>510</v>
      </c>
      <c r="H43" s="14" t="s">
        <v>89</v>
      </c>
      <c r="I43" s="14">
        <v>52.1</v>
      </c>
      <c r="J43" s="11">
        <v>444</v>
      </c>
      <c r="K43" s="19">
        <v>18751</v>
      </c>
      <c r="L43" s="15">
        <f t="shared" si="0"/>
        <v>35.138195777351243</v>
      </c>
      <c r="M43" s="17" t="s">
        <v>188</v>
      </c>
    </row>
    <row r="44" spans="1:13">
      <c r="A44" s="17" t="s">
        <v>387</v>
      </c>
      <c r="B44" s="17" t="s">
        <v>190</v>
      </c>
      <c r="C44" s="14">
        <v>100</v>
      </c>
      <c r="D44" s="14">
        <v>1</v>
      </c>
      <c r="E44" s="14">
        <v>500</v>
      </c>
      <c r="F44" s="14">
        <v>10</v>
      </c>
      <c r="G44" s="14">
        <v>510</v>
      </c>
      <c r="H44" s="14" t="s">
        <v>89</v>
      </c>
      <c r="I44" s="14">
        <v>52.1</v>
      </c>
      <c r="J44" s="11">
        <v>444</v>
      </c>
      <c r="K44" s="19">
        <v>17930</v>
      </c>
      <c r="L44" s="15">
        <f t="shared" si="0"/>
        <v>33.562380038387715</v>
      </c>
      <c r="M44" s="17" t="s">
        <v>190</v>
      </c>
    </row>
    <row r="45" spans="1:13">
      <c r="A45" s="17" t="s">
        <v>388</v>
      </c>
      <c r="B45" s="17" t="s">
        <v>192</v>
      </c>
      <c r="C45" s="14">
        <v>100</v>
      </c>
      <c r="D45" s="14">
        <v>1</v>
      </c>
      <c r="E45" s="14">
        <v>500</v>
      </c>
      <c r="F45" s="14">
        <v>10</v>
      </c>
      <c r="G45" s="14">
        <v>510</v>
      </c>
      <c r="H45" s="14" t="s">
        <v>89</v>
      </c>
      <c r="I45" s="14">
        <v>52.1</v>
      </c>
      <c r="J45" s="11">
        <v>444</v>
      </c>
      <c r="K45" s="19">
        <v>16375</v>
      </c>
      <c r="L45" s="15">
        <f t="shared" si="0"/>
        <v>30.577735124760075</v>
      </c>
      <c r="M45" s="17" t="s">
        <v>192</v>
      </c>
    </row>
    <row r="46" spans="1:13">
      <c r="A46" s="17" t="s">
        <v>389</v>
      </c>
      <c r="B46" s="17" t="s">
        <v>194</v>
      </c>
      <c r="C46" s="14">
        <v>100</v>
      </c>
      <c r="D46" s="14">
        <v>1</v>
      </c>
      <c r="E46" s="14">
        <v>500</v>
      </c>
      <c r="F46" s="14">
        <v>10</v>
      </c>
      <c r="G46" s="14">
        <v>510</v>
      </c>
      <c r="H46" s="14" t="s">
        <v>89</v>
      </c>
      <c r="I46" s="14">
        <v>52.1</v>
      </c>
      <c r="J46" s="11">
        <v>444</v>
      </c>
      <c r="K46" s="19">
        <v>17718</v>
      </c>
      <c r="L46" s="15">
        <f t="shared" si="0"/>
        <v>33.155470249520157</v>
      </c>
      <c r="M46" s="17" t="s">
        <v>194</v>
      </c>
    </row>
    <row r="47" spans="1:13">
      <c r="A47" s="17" t="s">
        <v>390</v>
      </c>
      <c r="B47" s="17" t="s">
        <v>196</v>
      </c>
      <c r="C47" s="14">
        <v>100</v>
      </c>
      <c r="D47" s="14">
        <v>1</v>
      </c>
      <c r="E47" s="14">
        <v>500</v>
      </c>
      <c r="F47" s="14">
        <v>10</v>
      </c>
      <c r="G47" s="14">
        <v>510</v>
      </c>
      <c r="H47" s="14" t="s">
        <v>89</v>
      </c>
      <c r="I47" s="14">
        <v>52.1</v>
      </c>
      <c r="J47" s="11">
        <v>444</v>
      </c>
      <c r="K47" s="19">
        <v>17633</v>
      </c>
      <c r="L47" s="15">
        <f t="shared" si="0"/>
        <v>32.992322456813817</v>
      </c>
      <c r="M47" s="17" t="s">
        <v>196</v>
      </c>
    </row>
    <row r="48" spans="1:13">
      <c r="A48" s="17" t="s">
        <v>391</v>
      </c>
      <c r="B48" s="17" t="s">
        <v>198</v>
      </c>
      <c r="C48" s="14">
        <v>100</v>
      </c>
      <c r="D48" s="14">
        <v>1</v>
      </c>
      <c r="E48" s="14">
        <v>500</v>
      </c>
      <c r="F48" s="14">
        <v>10</v>
      </c>
      <c r="G48" s="14">
        <v>510</v>
      </c>
      <c r="H48" s="14" t="s">
        <v>89</v>
      </c>
      <c r="I48" s="14">
        <v>52.1</v>
      </c>
      <c r="J48" s="11">
        <v>444</v>
      </c>
      <c r="K48" s="19">
        <v>16922</v>
      </c>
      <c r="L48" s="15">
        <f t="shared" si="0"/>
        <v>31.627639155470249</v>
      </c>
      <c r="M48" s="17" t="s">
        <v>198</v>
      </c>
    </row>
    <row r="49" spans="1:13">
      <c r="A49" s="17" t="s">
        <v>392</v>
      </c>
      <c r="B49" s="17" t="s">
        <v>347</v>
      </c>
      <c r="C49" s="14"/>
      <c r="D49" s="14">
        <v>1</v>
      </c>
      <c r="E49" s="14">
        <v>500</v>
      </c>
      <c r="F49" s="14">
        <v>10</v>
      </c>
      <c r="G49" s="14">
        <v>510</v>
      </c>
      <c r="H49" s="14" t="s">
        <v>89</v>
      </c>
      <c r="I49" s="14">
        <v>52.1</v>
      </c>
      <c r="J49" s="11"/>
      <c r="K49" s="19">
        <v>1293</v>
      </c>
      <c r="L49" s="15">
        <f t="shared" si="0"/>
        <v>0</v>
      </c>
      <c r="M49" s="17" t="s">
        <v>347</v>
      </c>
    </row>
    <row r="50" spans="1:13">
      <c r="A50" s="17" t="s">
        <v>393</v>
      </c>
      <c r="B50" s="17" t="s">
        <v>349</v>
      </c>
      <c r="C50" s="14"/>
      <c r="D50" s="14">
        <v>1</v>
      </c>
      <c r="E50" s="14">
        <v>500</v>
      </c>
      <c r="F50" s="14">
        <v>10</v>
      </c>
      <c r="G50" s="14">
        <v>510</v>
      </c>
      <c r="H50" s="14" t="s">
        <v>89</v>
      </c>
      <c r="I50" s="14">
        <v>52.1</v>
      </c>
      <c r="J50" s="11"/>
      <c r="K50" s="19">
        <v>712</v>
      </c>
      <c r="L50" s="15">
        <f t="shared" si="0"/>
        <v>0</v>
      </c>
      <c r="M50" s="17" t="s">
        <v>349</v>
      </c>
    </row>
    <row r="51" spans="1:13">
      <c r="A51" s="17" t="s">
        <v>394</v>
      </c>
      <c r="B51" s="17" t="s">
        <v>128</v>
      </c>
      <c r="C51" s="14">
        <v>100</v>
      </c>
      <c r="D51" s="14">
        <v>1</v>
      </c>
      <c r="E51" s="14">
        <v>500</v>
      </c>
      <c r="F51" s="14">
        <v>10</v>
      </c>
      <c r="G51" s="14">
        <v>510</v>
      </c>
      <c r="H51" s="14" t="s">
        <v>89</v>
      </c>
      <c r="I51" s="14">
        <v>52.1</v>
      </c>
      <c r="J51" s="11">
        <v>712</v>
      </c>
      <c r="K51" s="19">
        <v>38787</v>
      </c>
      <c r="L51" s="15">
        <f t="shared" si="0"/>
        <v>73.0806142034549</v>
      </c>
      <c r="M51" s="17" t="s">
        <v>128</v>
      </c>
    </row>
    <row r="52" spans="1:13">
      <c r="A52" s="17" t="s">
        <v>395</v>
      </c>
      <c r="B52" s="17" t="s">
        <v>130</v>
      </c>
      <c r="C52" s="14">
        <v>100</v>
      </c>
      <c r="D52" s="14">
        <v>1</v>
      </c>
      <c r="E52" s="14">
        <v>500</v>
      </c>
      <c r="F52" s="14">
        <v>10</v>
      </c>
      <c r="G52" s="14">
        <v>510</v>
      </c>
      <c r="H52" s="14" t="s">
        <v>89</v>
      </c>
      <c r="I52" s="14">
        <v>52.1</v>
      </c>
      <c r="J52" s="11">
        <v>712</v>
      </c>
      <c r="K52" s="19">
        <v>39566</v>
      </c>
      <c r="L52" s="15">
        <f t="shared" si="0"/>
        <v>74.575815738963527</v>
      </c>
      <c r="M52" s="17" t="s">
        <v>130</v>
      </c>
    </row>
    <row r="53" spans="1:13">
      <c r="A53" s="17" t="s">
        <v>396</v>
      </c>
      <c r="B53" s="17" t="s">
        <v>132</v>
      </c>
      <c r="C53" s="14">
        <v>100</v>
      </c>
      <c r="D53" s="14">
        <v>1</v>
      </c>
      <c r="E53" s="14">
        <v>500</v>
      </c>
      <c r="F53" s="14">
        <v>10</v>
      </c>
      <c r="G53" s="14">
        <v>510</v>
      </c>
      <c r="H53" s="14" t="s">
        <v>89</v>
      </c>
      <c r="I53" s="14">
        <v>52.1</v>
      </c>
      <c r="J53" s="11">
        <v>712</v>
      </c>
      <c r="K53" s="19">
        <v>38954</v>
      </c>
      <c r="L53" s="15">
        <f t="shared" si="0"/>
        <v>73.401151631477916</v>
      </c>
      <c r="M53" s="17" t="s">
        <v>132</v>
      </c>
    </row>
    <row r="54" spans="1:13">
      <c r="A54" s="17" t="s">
        <v>397</v>
      </c>
      <c r="B54" s="17" t="s">
        <v>134</v>
      </c>
      <c r="C54" s="14">
        <v>100</v>
      </c>
      <c r="D54" s="14">
        <v>1</v>
      </c>
      <c r="E54" s="14">
        <v>500</v>
      </c>
      <c r="F54" s="14">
        <v>10</v>
      </c>
      <c r="G54" s="14">
        <v>510</v>
      </c>
      <c r="H54" s="14" t="s">
        <v>89</v>
      </c>
      <c r="I54" s="14">
        <v>52.1</v>
      </c>
      <c r="J54" s="11">
        <v>712</v>
      </c>
      <c r="K54" s="19">
        <v>39577</v>
      </c>
      <c r="L54" s="15">
        <f t="shared" si="0"/>
        <v>74.59692898272553</v>
      </c>
      <c r="M54" s="17" t="s">
        <v>134</v>
      </c>
    </row>
    <row r="55" spans="1:13">
      <c r="A55" s="17" t="s">
        <v>398</v>
      </c>
      <c r="B55" s="17" t="s">
        <v>136</v>
      </c>
      <c r="C55" s="14">
        <v>100</v>
      </c>
      <c r="D55" s="14">
        <v>1</v>
      </c>
      <c r="E55" s="14">
        <v>500</v>
      </c>
      <c r="F55" s="14">
        <v>10</v>
      </c>
      <c r="G55" s="14">
        <v>510</v>
      </c>
      <c r="H55" s="14" t="s">
        <v>89</v>
      </c>
      <c r="I55" s="14">
        <v>52.1</v>
      </c>
      <c r="J55" s="11">
        <v>712</v>
      </c>
      <c r="K55" s="19">
        <v>34777</v>
      </c>
      <c r="L55" s="15">
        <f t="shared" si="0"/>
        <v>65.383877159309023</v>
      </c>
      <c r="M55" s="17" t="s">
        <v>136</v>
      </c>
    </row>
    <row r="56" spans="1:13">
      <c r="A56" s="17" t="s">
        <v>399</v>
      </c>
      <c r="B56" s="17" t="s">
        <v>138</v>
      </c>
      <c r="C56" s="14">
        <v>100</v>
      </c>
      <c r="D56" s="14">
        <v>1</v>
      </c>
      <c r="E56" s="14">
        <v>500</v>
      </c>
      <c r="F56" s="14">
        <v>10</v>
      </c>
      <c r="G56" s="14">
        <v>510</v>
      </c>
      <c r="H56" s="14" t="s">
        <v>89</v>
      </c>
      <c r="I56" s="14">
        <v>52.1</v>
      </c>
      <c r="J56" s="11">
        <v>712</v>
      </c>
      <c r="K56" s="19">
        <v>36872</v>
      </c>
      <c r="L56" s="15">
        <f t="shared" si="0"/>
        <v>69.404990403071011</v>
      </c>
      <c r="M56" s="17" t="s">
        <v>138</v>
      </c>
    </row>
    <row r="57" spans="1:13">
      <c r="A57" s="18" t="s">
        <v>400</v>
      </c>
      <c r="B57" s="17" t="s">
        <v>140</v>
      </c>
      <c r="C57" s="14">
        <v>100</v>
      </c>
      <c r="D57" s="14">
        <v>1</v>
      </c>
      <c r="E57" s="14">
        <v>500</v>
      </c>
      <c r="F57" s="14">
        <v>10</v>
      </c>
      <c r="G57" s="14">
        <v>510</v>
      </c>
      <c r="H57" s="14" t="s">
        <v>89</v>
      </c>
      <c r="I57" s="14">
        <v>52.1</v>
      </c>
      <c r="J57" s="11">
        <v>712</v>
      </c>
      <c r="K57" s="19">
        <v>67184</v>
      </c>
      <c r="L57" s="15">
        <f t="shared" si="0"/>
        <v>127.58541266794626</v>
      </c>
      <c r="M57" s="17" t="s">
        <v>140</v>
      </c>
    </row>
    <row r="58" spans="1:13">
      <c r="A58" s="17" t="s">
        <v>401</v>
      </c>
      <c r="B58" s="17" t="s">
        <v>142</v>
      </c>
      <c r="C58" s="14">
        <v>100</v>
      </c>
      <c r="D58" s="14">
        <v>1</v>
      </c>
      <c r="E58" s="14">
        <v>500</v>
      </c>
      <c r="F58" s="14">
        <v>10</v>
      </c>
      <c r="G58" s="14">
        <v>510</v>
      </c>
      <c r="H58" s="14" t="s">
        <v>89</v>
      </c>
      <c r="I58" s="14">
        <v>52.1</v>
      </c>
      <c r="J58" s="11">
        <v>712</v>
      </c>
      <c r="K58" s="19">
        <v>34846</v>
      </c>
      <c r="L58" s="15">
        <f t="shared" si="0"/>
        <v>65.516314779270644</v>
      </c>
      <c r="M58" s="17" t="s">
        <v>142</v>
      </c>
    </row>
    <row r="59" spans="1:13">
      <c r="A59" s="17" t="s">
        <v>402</v>
      </c>
      <c r="B59" s="17" t="s">
        <v>144</v>
      </c>
      <c r="C59" s="14">
        <v>100</v>
      </c>
      <c r="D59" s="14">
        <v>1</v>
      </c>
      <c r="E59" s="14">
        <v>500</v>
      </c>
      <c r="F59" s="14">
        <v>10</v>
      </c>
      <c r="G59" s="14">
        <v>510</v>
      </c>
      <c r="H59" s="14" t="s">
        <v>89</v>
      </c>
      <c r="I59" s="14">
        <v>52.1</v>
      </c>
      <c r="J59" s="11">
        <v>712</v>
      </c>
      <c r="K59" s="19">
        <v>34647</v>
      </c>
      <c r="L59" s="15">
        <f t="shared" si="0"/>
        <v>65.134357005758147</v>
      </c>
      <c r="M59" s="17" t="s">
        <v>144</v>
      </c>
    </row>
    <row r="60" spans="1:13">
      <c r="A60" s="17" t="s">
        <v>403</v>
      </c>
      <c r="B60" s="17" t="s">
        <v>347</v>
      </c>
      <c r="C60" s="14"/>
      <c r="D60" s="14">
        <v>1</v>
      </c>
      <c r="E60" s="14">
        <v>500</v>
      </c>
      <c r="F60" s="14">
        <v>10</v>
      </c>
      <c r="G60" s="14">
        <v>510</v>
      </c>
      <c r="H60" s="14" t="s">
        <v>89</v>
      </c>
      <c r="I60" s="14">
        <v>52.1</v>
      </c>
      <c r="J60" s="11"/>
      <c r="K60" s="19">
        <v>550</v>
      </c>
      <c r="L60" s="15">
        <f t="shared" si="0"/>
        <v>0</v>
      </c>
      <c r="M60" s="17" t="s">
        <v>347</v>
      </c>
    </row>
    <row r="61" spans="1:13">
      <c r="A61" s="17" t="s">
        <v>404</v>
      </c>
      <c r="B61" s="17" t="s">
        <v>349</v>
      </c>
      <c r="C61" s="14"/>
      <c r="D61" s="14">
        <v>1</v>
      </c>
      <c r="E61" s="14">
        <v>500</v>
      </c>
      <c r="F61" s="14">
        <v>10</v>
      </c>
      <c r="G61" s="14">
        <v>510</v>
      </c>
      <c r="H61" s="14" t="s">
        <v>89</v>
      </c>
      <c r="I61" s="14">
        <v>52.1</v>
      </c>
      <c r="J61" s="11"/>
      <c r="K61" s="19">
        <v>495</v>
      </c>
      <c r="L61" s="15">
        <f t="shared" si="0"/>
        <v>0</v>
      </c>
      <c r="M61" s="17" t="s">
        <v>349</v>
      </c>
    </row>
    <row r="62" spans="1:13">
      <c r="A62" s="17" t="s">
        <v>405</v>
      </c>
      <c r="B62" s="17" t="s">
        <v>146</v>
      </c>
      <c r="C62" s="14">
        <v>100</v>
      </c>
      <c r="D62" s="14">
        <v>1</v>
      </c>
      <c r="E62" s="14">
        <v>500</v>
      </c>
      <c r="F62" s="14">
        <v>10</v>
      </c>
      <c r="G62" s="14">
        <v>510</v>
      </c>
      <c r="H62" s="14" t="s">
        <v>89</v>
      </c>
      <c r="I62" s="14">
        <v>52.1</v>
      </c>
      <c r="J62" s="11">
        <v>495</v>
      </c>
      <c r="K62" s="19">
        <v>18035</v>
      </c>
      <c r="L62" s="15">
        <f t="shared" si="0"/>
        <v>33.666026871401151</v>
      </c>
      <c r="M62" s="17" t="s">
        <v>146</v>
      </c>
    </row>
    <row r="63" spans="1:13">
      <c r="A63" s="17" t="s">
        <v>406</v>
      </c>
      <c r="B63" s="17" t="s">
        <v>148</v>
      </c>
      <c r="C63" s="14">
        <v>100</v>
      </c>
      <c r="D63" s="14">
        <v>1</v>
      </c>
      <c r="E63" s="14">
        <v>500</v>
      </c>
      <c r="F63" s="14">
        <v>10</v>
      </c>
      <c r="G63" s="14">
        <v>510</v>
      </c>
      <c r="H63" s="14" t="s">
        <v>89</v>
      </c>
      <c r="I63" s="14">
        <v>52.1</v>
      </c>
      <c r="J63" s="11">
        <v>495</v>
      </c>
      <c r="K63" s="19">
        <v>17199</v>
      </c>
      <c r="L63" s="15">
        <f t="shared" si="0"/>
        <v>32.061420345489445</v>
      </c>
      <c r="M63" s="17" t="s">
        <v>148</v>
      </c>
    </row>
    <row r="64" spans="1:13">
      <c r="A64" s="17" t="s">
        <v>407</v>
      </c>
      <c r="B64" s="17" t="s">
        <v>150</v>
      </c>
      <c r="C64" s="14">
        <v>100</v>
      </c>
      <c r="D64" s="14">
        <v>1</v>
      </c>
      <c r="E64" s="14">
        <v>500</v>
      </c>
      <c r="F64" s="14">
        <v>10</v>
      </c>
      <c r="G64" s="14">
        <v>510</v>
      </c>
      <c r="H64" s="14" t="s">
        <v>89</v>
      </c>
      <c r="I64" s="14">
        <v>52.1</v>
      </c>
      <c r="J64" s="11">
        <v>495</v>
      </c>
      <c r="K64" s="19">
        <v>18032</v>
      </c>
      <c r="L64" s="15">
        <f t="shared" si="0"/>
        <v>33.660268714011522</v>
      </c>
      <c r="M64" s="17" t="s">
        <v>150</v>
      </c>
    </row>
    <row r="65" spans="1:13">
      <c r="A65" s="17" t="s">
        <v>408</v>
      </c>
      <c r="B65" s="17" t="s">
        <v>152</v>
      </c>
      <c r="C65" s="14">
        <v>100</v>
      </c>
      <c r="D65" s="14">
        <v>1</v>
      </c>
      <c r="E65" s="14">
        <v>500</v>
      </c>
      <c r="F65" s="14">
        <v>10</v>
      </c>
      <c r="G65" s="14">
        <v>510</v>
      </c>
      <c r="H65" s="14" t="s">
        <v>89</v>
      </c>
      <c r="I65" s="14">
        <v>52.1</v>
      </c>
      <c r="J65" s="11">
        <v>495</v>
      </c>
      <c r="K65" s="19">
        <v>15048</v>
      </c>
      <c r="L65" s="15">
        <f t="shared" si="0"/>
        <v>27.932821497120923</v>
      </c>
      <c r="M65" s="17" t="s">
        <v>152</v>
      </c>
    </row>
    <row r="66" spans="1:13">
      <c r="A66" s="17" t="s">
        <v>409</v>
      </c>
      <c r="B66" s="17" t="s">
        <v>154</v>
      </c>
      <c r="C66" s="14">
        <v>100</v>
      </c>
      <c r="D66" s="14">
        <v>1</v>
      </c>
      <c r="E66" s="14">
        <v>500</v>
      </c>
      <c r="F66" s="14">
        <v>10</v>
      </c>
      <c r="G66" s="14">
        <v>510</v>
      </c>
      <c r="H66" s="14" t="s">
        <v>89</v>
      </c>
      <c r="I66" s="14">
        <v>52.1</v>
      </c>
      <c r="J66" s="11">
        <v>495</v>
      </c>
      <c r="K66" s="19">
        <v>14418</v>
      </c>
      <c r="L66" s="15">
        <f t="shared" si="0"/>
        <v>26.723608445297501</v>
      </c>
      <c r="M66" s="17" t="s">
        <v>154</v>
      </c>
    </row>
    <row r="67" spans="1:13">
      <c r="A67" s="17" t="s">
        <v>410</v>
      </c>
      <c r="B67" s="17" t="s">
        <v>156</v>
      </c>
      <c r="C67" s="14">
        <v>100</v>
      </c>
      <c r="D67" s="14">
        <v>1</v>
      </c>
      <c r="E67" s="14">
        <v>500</v>
      </c>
      <c r="F67" s="14">
        <v>10</v>
      </c>
      <c r="G67" s="14">
        <v>510</v>
      </c>
      <c r="H67" s="14" t="s">
        <v>89</v>
      </c>
      <c r="I67" s="14">
        <v>52.1</v>
      </c>
      <c r="J67" s="11">
        <v>495</v>
      </c>
      <c r="K67" s="19">
        <v>17176</v>
      </c>
      <c r="L67" s="15">
        <f t="shared" si="0"/>
        <v>32.017274472168907</v>
      </c>
      <c r="M67" s="17" t="s">
        <v>156</v>
      </c>
    </row>
    <row r="68" spans="1:13">
      <c r="A68" s="17" t="s">
        <v>411</v>
      </c>
      <c r="B68" s="17" t="s">
        <v>158</v>
      </c>
      <c r="C68" s="14">
        <v>100</v>
      </c>
      <c r="D68" s="14">
        <v>1</v>
      </c>
      <c r="E68" s="14">
        <v>500</v>
      </c>
      <c r="F68" s="14">
        <v>10</v>
      </c>
      <c r="G68" s="14">
        <v>510</v>
      </c>
      <c r="H68" s="14" t="s">
        <v>89</v>
      </c>
      <c r="I68" s="14">
        <v>52.1</v>
      </c>
      <c r="J68" s="11">
        <v>495</v>
      </c>
      <c r="K68" s="19">
        <v>14696</v>
      </c>
      <c r="L68" s="15">
        <f t="shared" si="0"/>
        <v>27.257197696737045</v>
      </c>
      <c r="M68" s="17" t="s">
        <v>158</v>
      </c>
    </row>
    <row r="69" spans="1:13">
      <c r="A69" s="17" t="s">
        <v>412</v>
      </c>
      <c r="B69" s="17" t="s">
        <v>160</v>
      </c>
      <c r="C69" s="14">
        <v>100</v>
      </c>
      <c r="D69" s="14">
        <v>1</v>
      </c>
      <c r="E69" s="14">
        <v>500</v>
      </c>
      <c r="F69" s="14">
        <v>10</v>
      </c>
      <c r="G69" s="14">
        <v>510</v>
      </c>
      <c r="H69" s="14" t="s">
        <v>89</v>
      </c>
      <c r="I69" s="14">
        <v>52.1</v>
      </c>
      <c r="J69" s="11">
        <v>495</v>
      </c>
      <c r="K69" s="19">
        <v>15202</v>
      </c>
      <c r="L69" s="15">
        <f t="shared" si="0"/>
        <v>28.228406909788866</v>
      </c>
      <c r="M69" s="17" t="s">
        <v>160</v>
      </c>
    </row>
    <row r="70" spans="1:13">
      <c r="A70" s="17" t="s">
        <v>413</v>
      </c>
      <c r="B70" s="17" t="s">
        <v>162</v>
      </c>
      <c r="C70" s="14">
        <v>100</v>
      </c>
      <c r="D70" s="14">
        <v>1</v>
      </c>
      <c r="E70" s="14">
        <v>500</v>
      </c>
      <c r="F70" s="14">
        <v>10</v>
      </c>
      <c r="G70" s="14">
        <v>510</v>
      </c>
      <c r="H70" s="14" t="s">
        <v>89</v>
      </c>
      <c r="I70" s="14">
        <v>52.1</v>
      </c>
      <c r="J70" s="11">
        <v>495</v>
      </c>
      <c r="K70" s="19">
        <v>14741</v>
      </c>
      <c r="L70" s="15">
        <f t="shared" ref="L70:L98" si="6">(((K70-J70)/((I70*D70)/1000))*C70)/1000000</f>
        <v>27.343570057581573</v>
      </c>
      <c r="M70" s="17" t="s">
        <v>162</v>
      </c>
    </row>
    <row r="71" spans="1:13">
      <c r="A71" s="17" t="s">
        <v>414</v>
      </c>
      <c r="B71" s="17" t="s">
        <v>347</v>
      </c>
      <c r="C71" s="14"/>
      <c r="D71" s="14">
        <v>1</v>
      </c>
      <c r="E71" s="14">
        <v>500</v>
      </c>
      <c r="F71" s="14">
        <v>10</v>
      </c>
      <c r="G71" s="14">
        <v>510</v>
      </c>
      <c r="H71" s="14" t="s">
        <v>89</v>
      </c>
      <c r="I71" s="14">
        <v>52.1</v>
      </c>
      <c r="J71" s="11"/>
      <c r="K71" s="19">
        <v>1788</v>
      </c>
      <c r="L71" s="15">
        <f t="shared" si="6"/>
        <v>0</v>
      </c>
      <c r="M71" s="17" t="s">
        <v>347</v>
      </c>
    </row>
    <row r="72" spans="1:13">
      <c r="A72" s="17" t="s">
        <v>415</v>
      </c>
      <c r="B72" s="17" t="s">
        <v>349</v>
      </c>
      <c r="C72" s="14"/>
      <c r="D72" s="14">
        <v>1</v>
      </c>
      <c r="E72" s="14">
        <v>500</v>
      </c>
      <c r="F72" s="14">
        <v>10</v>
      </c>
      <c r="G72" s="14">
        <v>510</v>
      </c>
      <c r="H72" s="14" t="s">
        <v>89</v>
      </c>
      <c r="I72" s="14">
        <v>52.1</v>
      </c>
      <c r="J72" s="11"/>
      <c r="K72" s="19">
        <v>811</v>
      </c>
      <c r="L72" s="15">
        <f t="shared" si="6"/>
        <v>0</v>
      </c>
      <c r="M72" s="17" t="s">
        <v>349</v>
      </c>
    </row>
    <row r="73" spans="1:13">
      <c r="A73" s="17" t="s">
        <v>416</v>
      </c>
      <c r="B73" s="17" t="s">
        <v>212</v>
      </c>
      <c r="C73" s="14">
        <v>100</v>
      </c>
      <c r="D73" s="14">
        <v>1</v>
      </c>
      <c r="E73" s="14">
        <v>500</v>
      </c>
      <c r="F73" s="14">
        <v>10</v>
      </c>
      <c r="G73" s="14">
        <v>510</v>
      </c>
      <c r="H73" s="14" t="s">
        <v>89</v>
      </c>
      <c r="I73" s="14">
        <v>52.1</v>
      </c>
      <c r="J73" s="11">
        <v>811</v>
      </c>
      <c r="K73" s="19">
        <v>47892</v>
      </c>
      <c r="L73" s="15">
        <f t="shared" si="6"/>
        <v>90.366602687140102</v>
      </c>
      <c r="M73" s="17" t="s">
        <v>212</v>
      </c>
    </row>
    <row r="74" spans="1:13">
      <c r="A74" s="17" t="s">
        <v>417</v>
      </c>
      <c r="B74" s="17" t="s">
        <v>214</v>
      </c>
      <c r="C74" s="14">
        <v>100</v>
      </c>
      <c r="D74" s="14">
        <v>1</v>
      </c>
      <c r="E74" s="14">
        <v>500</v>
      </c>
      <c r="F74" s="14">
        <v>10</v>
      </c>
      <c r="G74" s="14">
        <v>510</v>
      </c>
      <c r="H74" s="14" t="s">
        <v>89</v>
      </c>
      <c r="I74" s="14">
        <v>52.1</v>
      </c>
      <c r="J74" s="11">
        <v>811</v>
      </c>
      <c r="K74" s="19">
        <v>48026</v>
      </c>
      <c r="L74" s="15">
        <f t="shared" si="6"/>
        <v>90.623800383877153</v>
      </c>
      <c r="M74" s="17" t="s">
        <v>214</v>
      </c>
    </row>
    <row r="75" spans="1:13">
      <c r="A75" s="17" t="s">
        <v>418</v>
      </c>
      <c r="B75" s="17" t="s">
        <v>216</v>
      </c>
      <c r="C75" s="14">
        <v>100</v>
      </c>
      <c r="D75" s="14">
        <v>1</v>
      </c>
      <c r="E75" s="14">
        <v>500</v>
      </c>
      <c r="F75" s="14">
        <v>10</v>
      </c>
      <c r="G75" s="14">
        <v>510</v>
      </c>
      <c r="H75" s="14" t="s">
        <v>89</v>
      </c>
      <c r="I75" s="14">
        <v>52.1</v>
      </c>
      <c r="J75" s="11">
        <v>811</v>
      </c>
      <c r="K75" s="19">
        <v>47367</v>
      </c>
      <c r="L75" s="15">
        <f t="shared" si="6"/>
        <v>89.35892514395394</v>
      </c>
      <c r="M75" s="17" t="s">
        <v>216</v>
      </c>
    </row>
    <row r="76" spans="1:13">
      <c r="A76" s="17" t="s">
        <v>419</v>
      </c>
      <c r="B76" s="17" t="s">
        <v>218</v>
      </c>
      <c r="C76" s="14">
        <v>100</v>
      </c>
      <c r="D76" s="14">
        <v>1</v>
      </c>
      <c r="E76" s="14">
        <v>500</v>
      </c>
      <c r="F76" s="14">
        <v>10</v>
      </c>
      <c r="G76" s="14">
        <v>510</v>
      </c>
      <c r="H76" s="14" t="s">
        <v>89</v>
      </c>
      <c r="I76" s="14">
        <v>52.1</v>
      </c>
      <c r="J76" s="11">
        <v>811</v>
      </c>
      <c r="K76" s="19">
        <v>39990</v>
      </c>
      <c r="L76" s="15">
        <f t="shared" si="6"/>
        <v>75.199616122840681</v>
      </c>
      <c r="M76" s="17" t="s">
        <v>218</v>
      </c>
    </row>
    <row r="77" spans="1:13">
      <c r="A77" s="17" t="s">
        <v>420</v>
      </c>
      <c r="B77" s="17" t="s">
        <v>220</v>
      </c>
      <c r="C77" s="14">
        <v>100</v>
      </c>
      <c r="D77" s="14">
        <v>1</v>
      </c>
      <c r="E77" s="14">
        <v>500</v>
      </c>
      <c r="F77" s="14">
        <v>10</v>
      </c>
      <c r="G77" s="14">
        <v>510</v>
      </c>
      <c r="H77" s="14" t="s">
        <v>89</v>
      </c>
      <c r="I77" s="14">
        <v>52.1</v>
      </c>
      <c r="J77" s="11">
        <v>811</v>
      </c>
      <c r="K77" s="19">
        <v>40224</v>
      </c>
      <c r="L77" s="15">
        <f t="shared" si="6"/>
        <v>75.648752399232251</v>
      </c>
      <c r="M77" s="17" t="s">
        <v>220</v>
      </c>
    </row>
    <row r="78" spans="1:13">
      <c r="A78" s="17" t="s">
        <v>421</v>
      </c>
      <c r="B78" s="17" t="s">
        <v>222</v>
      </c>
      <c r="C78" s="14">
        <v>100</v>
      </c>
      <c r="D78" s="14">
        <v>1</v>
      </c>
      <c r="E78" s="14">
        <v>500</v>
      </c>
      <c r="F78" s="14">
        <v>10</v>
      </c>
      <c r="G78" s="14">
        <v>510</v>
      </c>
      <c r="H78" s="14" t="s">
        <v>89</v>
      </c>
      <c r="I78" s="14">
        <v>52.1</v>
      </c>
      <c r="J78" s="11">
        <v>811</v>
      </c>
      <c r="K78" s="19">
        <v>43646</v>
      </c>
      <c r="L78" s="15">
        <f t="shared" si="6"/>
        <v>82.216890595009602</v>
      </c>
      <c r="M78" s="17" t="s">
        <v>222</v>
      </c>
    </row>
    <row r="79" spans="1:13">
      <c r="A79" s="17" t="s">
        <v>422</v>
      </c>
      <c r="B79" s="17" t="s">
        <v>224</v>
      </c>
      <c r="C79" s="14">
        <v>100</v>
      </c>
      <c r="D79" s="14">
        <v>1</v>
      </c>
      <c r="E79" s="14">
        <v>500</v>
      </c>
      <c r="F79" s="14">
        <v>10</v>
      </c>
      <c r="G79" s="14">
        <v>510</v>
      </c>
      <c r="H79" s="14" t="s">
        <v>89</v>
      </c>
      <c r="I79" s="14">
        <v>52.1</v>
      </c>
      <c r="J79" s="11">
        <v>811</v>
      </c>
      <c r="K79" s="19">
        <v>40533</v>
      </c>
      <c r="L79" s="15">
        <f t="shared" si="6"/>
        <v>76.241842610364685</v>
      </c>
      <c r="M79" s="17" t="s">
        <v>224</v>
      </c>
    </row>
    <row r="80" spans="1:13">
      <c r="A80" s="17" t="s">
        <v>423</v>
      </c>
      <c r="B80" s="17" t="s">
        <v>226</v>
      </c>
      <c r="C80" s="14">
        <v>100</v>
      </c>
      <c r="D80" s="14">
        <v>1</v>
      </c>
      <c r="E80" s="14">
        <v>500</v>
      </c>
      <c r="F80" s="14">
        <v>10</v>
      </c>
      <c r="G80" s="14">
        <v>510</v>
      </c>
      <c r="H80" s="14" t="s">
        <v>89</v>
      </c>
      <c r="I80" s="14">
        <v>52.1</v>
      </c>
      <c r="J80" s="11">
        <v>811</v>
      </c>
      <c r="K80" s="19">
        <v>40870</v>
      </c>
      <c r="L80" s="15">
        <f t="shared" si="6"/>
        <v>76.888675623800381</v>
      </c>
      <c r="M80" s="17" t="s">
        <v>226</v>
      </c>
    </row>
    <row r="81" spans="1:13">
      <c r="A81" s="17" t="s">
        <v>424</v>
      </c>
      <c r="B81" s="17" t="s">
        <v>228</v>
      </c>
      <c r="C81" s="14">
        <v>100</v>
      </c>
      <c r="D81" s="14">
        <v>1</v>
      </c>
      <c r="E81" s="14">
        <v>500</v>
      </c>
      <c r="F81" s="14">
        <v>10</v>
      </c>
      <c r="G81" s="14">
        <v>510</v>
      </c>
      <c r="H81" s="14" t="s">
        <v>89</v>
      </c>
      <c r="I81" s="14">
        <v>52.1</v>
      </c>
      <c r="J81" s="11">
        <v>811</v>
      </c>
      <c r="K81" s="19">
        <v>41742</v>
      </c>
      <c r="L81" s="15">
        <f t="shared" si="6"/>
        <v>78.562380038387715</v>
      </c>
      <c r="M81" s="17" t="s">
        <v>228</v>
      </c>
    </row>
    <row r="82" spans="1:13">
      <c r="A82" s="17" t="s">
        <v>425</v>
      </c>
      <c r="B82" s="17" t="s">
        <v>140</v>
      </c>
      <c r="C82" s="14">
        <v>100</v>
      </c>
      <c r="D82" s="14">
        <v>1</v>
      </c>
      <c r="E82" s="14">
        <v>500</v>
      </c>
      <c r="F82" s="14">
        <v>10</v>
      </c>
      <c r="G82" s="14">
        <v>510</v>
      </c>
      <c r="H82" s="14" t="s">
        <v>89</v>
      </c>
      <c r="I82" s="14">
        <v>52.1</v>
      </c>
      <c r="J82" s="11">
        <v>811</v>
      </c>
      <c r="K82" s="19">
        <v>31347</v>
      </c>
      <c r="L82" s="15">
        <f t="shared" si="6"/>
        <v>58.610364683301334</v>
      </c>
      <c r="M82" s="17" t="s">
        <v>140</v>
      </c>
    </row>
    <row r="83" spans="1:13">
      <c r="A83" s="17" t="s">
        <v>426</v>
      </c>
      <c r="B83" s="17" t="s">
        <v>347</v>
      </c>
      <c r="C83" s="14"/>
      <c r="D83" s="14">
        <v>1</v>
      </c>
      <c r="E83" s="14">
        <v>500</v>
      </c>
      <c r="F83" s="14">
        <v>10</v>
      </c>
      <c r="G83" s="14">
        <v>510</v>
      </c>
      <c r="H83" s="14" t="s">
        <v>89</v>
      </c>
      <c r="I83" s="14">
        <v>52.1</v>
      </c>
      <c r="J83" s="11"/>
      <c r="K83" s="19">
        <v>1739</v>
      </c>
      <c r="L83" s="15">
        <f t="shared" si="6"/>
        <v>0</v>
      </c>
      <c r="M83" s="17" t="s">
        <v>347</v>
      </c>
    </row>
    <row r="84" spans="1:13">
      <c r="A84" s="17" t="s">
        <v>427</v>
      </c>
      <c r="B84" s="17" t="s">
        <v>349</v>
      </c>
      <c r="C84" s="14"/>
      <c r="D84" s="14">
        <v>1</v>
      </c>
      <c r="E84" s="14">
        <v>500</v>
      </c>
      <c r="F84" s="14">
        <v>10</v>
      </c>
      <c r="G84" s="14">
        <v>510</v>
      </c>
      <c r="H84" s="14" t="s">
        <v>89</v>
      </c>
      <c r="I84" s="14">
        <v>52.1</v>
      </c>
      <c r="J84" s="11"/>
      <c r="K84" s="19">
        <v>1284</v>
      </c>
      <c r="L84" s="15">
        <f t="shared" si="6"/>
        <v>0</v>
      </c>
      <c r="M84" s="17" t="s">
        <v>349</v>
      </c>
    </row>
    <row r="85" spans="1:13">
      <c r="A85" s="17" t="s">
        <v>428</v>
      </c>
      <c r="B85" s="17" t="s">
        <v>230</v>
      </c>
      <c r="C85" s="14">
        <v>100</v>
      </c>
      <c r="D85" s="14">
        <v>1</v>
      </c>
      <c r="E85" s="14">
        <v>500</v>
      </c>
      <c r="F85" s="14">
        <v>10</v>
      </c>
      <c r="G85" s="14">
        <v>510</v>
      </c>
      <c r="H85" s="14" t="s">
        <v>89</v>
      </c>
      <c r="I85" s="14">
        <v>52.1</v>
      </c>
      <c r="J85" s="11">
        <v>1284</v>
      </c>
      <c r="K85" s="19">
        <v>23146</v>
      </c>
      <c r="L85" s="15">
        <f t="shared" si="6"/>
        <v>41.961612284069098</v>
      </c>
      <c r="M85" s="17" t="s">
        <v>230</v>
      </c>
    </row>
    <row r="86" spans="1:13">
      <c r="A86" s="17" t="s">
        <v>429</v>
      </c>
      <c r="B86" s="17" t="s">
        <v>232</v>
      </c>
      <c r="C86" s="14">
        <v>100</v>
      </c>
      <c r="D86" s="14">
        <v>1</v>
      </c>
      <c r="E86" s="14">
        <v>500</v>
      </c>
      <c r="F86" s="14">
        <v>10</v>
      </c>
      <c r="G86" s="14">
        <v>510</v>
      </c>
      <c r="H86" s="14" t="s">
        <v>89</v>
      </c>
      <c r="I86" s="14">
        <v>52.1</v>
      </c>
      <c r="J86" s="11">
        <v>1284</v>
      </c>
      <c r="K86" s="19">
        <v>24109</v>
      </c>
      <c r="L86" s="15">
        <f t="shared" si="6"/>
        <v>43.809980806142029</v>
      </c>
      <c r="M86" s="17" t="s">
        <v>232</v>
      </c>
    </row>
    <row r="87" spans="1:13">
      <c r="A87" s="17" t="s">
        <v>430</v>
      </c>
      <c r="B87" s="17" t="s">
        <v>234</v>
      </c>
      <c r="C87" s="14">
        <v>100</v>
      </c>
      <c r="D87" s="14">
        <v>1</v>
      </c>
      <c r="E87" s="14">
        <v>500</v>
      </c>
      <c r="F87" s="14">
        <v>10</v>
      </c>
      <c r="G87" s="14">
        <v>510</v>
      </c>
      <c r="H87" s="14" t="s">
        <v>89</v>
      </c>
      <c r="I87" s="14">
        <v>52.1</v>
      </c>
      <c r="J87" s="11">
        <v>1284</v>
      </c>
      <c r="K87" s="19">
        <v>23885</v>
      </c>
      <c r="L87" s="15">
        <f t="shared" si="6"/>
        <v>43.380038387715935</v>
      </c>
      <c r="M87" s="17" t="s">
        <v>234</v>
      </c>
    </row>
    <row r="88" spans="1:13">
      <c r="A88" s="17" t="s">
        <v>431</v>
      </c>
      <c r="B88" s="17" t="s">
        <v>236</v>
      </c>
      <c r="C88" s="14">
        <v>100</v>
      </c>
      <c r="D88" s="14">
        <v>1</v>
      </c>
      <c r="E88" s="14">
        <v>500</v>
      </c>
      <c r="F88" s="14">
        <v>10</v>
      </c>
      <c r="G88" s="14">
        <v>510</v>
      </c>
      <c r="H88" s="14" t="s">
        <v>89</v>
      </c>
      <c r="I88" s="14">
        <v>52.1</v>
      </c>
      <c r="J88" s="11">
        <v>1284</v>
      </c>
      <c r="K88" s="19">
        <v>18423</v>
      </c>
      <c r="L88" s="15">
        <f t="shared" si="6"/>
        <v>32.896353166986565</v>
      </c>
      <c r="M88" s="17" t="s">
        <v>236</v>
      </c>
    </row>
    <row r="89" spans="1:13">
      <c r="A89" s="17" t="s">
        <v>432</v>
      </c>
      <c r="B89" s="17" t="s">
        <v>238</v>
      </c>
      <c r="C89" s="14">
        <v>100</v>
      </c>
      <c r="D89" s="14">
        <v>1</v>
      </c>
      <c r="E89" s="14">
        <v>500</v>
      </c>
      <c r="F89" s="14">
        <v>10</v>
      </c>
      <c r="G89" s="14">
        <v>510</v>
      </c>
      <c r="H89" s="14" t="s">
        <v>89</v>
      </c>
      <c r="I89" s="14">
        <v>52.1</v>
      </c>
      <c r="J89" s="11">
        <v>1284</v>
      </c>
      <c r="K89" s="19">
        <v>20389</v>
      </c>
      <c r="L89" s="15">
        <f t="shared" si="6"/>
        <v>36.669865642994239</v>
      </c>
      <c r="M89" s="17" t="s">
        <v>238</v>
      </c>
    </row>
    <row r="90" spans="1:13">
      <c r="A90" s="17" t="s">
        <v>433</v>
      </c>
      <c r="B90" s="17" t="s">
        <v>240</v>
      </c>
      <c r="C90" s="14">
        <v>100</v>
      </c>
      <c r="D90" s="14">
        <v>1</v>
      </c>
      <c r="E90" s="14">
        <v>500</v>
      </c>
      <c r="F90" s="14">
        <v>10</v>
      </c>
      <c r="G90" s="14">
        <v>510</v>
      </c>
      <c r="H90" s="14" t="s">
        <v>89</v>
      </c>
      <c r="I90" s="14">
        <v>52.1</v>
      </c>
      <c r="J90" s="11">
        <v>1284</v>
      </c>
      <c r="K90" s="19">
        <v>20287</v>
      </c>
      <c r="L90" s="15">
        <f t="shared" si="6"/>
        <v>36.474088291746639</v>
      </c>
      <c r="M90" s="17" t="s">
        <v>240</v>
      </c>
    </row>
    <row r="91" spans="1:13">
      <c r="A91" s="17" t="s">
        <v>434</v>
      </c>
      <c r="B91" s="17" t="s">
        <v>242</v>
      </c>
      <c r="C91" s="14">
        <v>100</v>
      </c>
      <c r="D91" s="14">
        <v>1</v>
      </c>
      <c r="E91" s="14">
        <v>500</v>
      </c>
      <c r="F91" s="14">
        <v>10</v>
      </c>
      <c r="G91" s="14">
        <v>510</v>
      </c>
      <c r="H91" s="14" t="s">
        <v>89</v>
      </c>
      <c r="I91" s="14">
        <v>52.1</v>
      </c>
      <c r="J91" s="11">
        <v>1284</v>
      </c>
      <c r="K91" s="19">
        <v>19800</v>
      </c>
      <c r="L91" s="15">
        <f t="shared" si="6"/>
        <v>35.539347408829173</v>
      </c>
      <c r="M91" s="17" t="s">
        <v>242</v>
      </c>
    </row>
    <row r="92" spans="1:13">
      <c r="A92" s="17" t="s">
        <v>435</v>
      </c>
      <c r="B92" s="17" t="s">
        <v>244</v>
      </c>
      <c r="C92" s="14">
        <v>100</v>
      </c>
      <c r="D92" s="14">
        <v>1</v>
      </c>
      <c r="E92" s="14">
        <v>500</v>
      </c>
      <c r="F92" s="14">
        <v>10</v>
      </c>
      <c r="G92" s="14">
        <v>510</v>
      </c>
      <c r="H92" s="14" t="s">
        <v>89</v>
      </c>
      <c r="I92" s="14">
        <v>52.1</v>
      </c>
      <c r="J92" s="11">
        <v>1284</v>
      </c>
      <c r="K92" s="19">
        <v>19036</v>
      </c>
      <c r="L92" s="15">
        <f t="shared" si="6"/>
        <v>34.072936660268716</v>
      </c>
      <c r="M92" s="17" t="s">
        <v>244</v>
      </c>
    </row>
    <row r="93" spans="1:13">
      <c r="A93" s="17" t="s">
        <v>436</v>
      </c>
      <c r="B93" s="17" t="s">
        <v>246</v>
      </c>
      <c r="C93" s="14">
        <v>100</v>
      </c>
      <c r="D93" s="14">
        <v>1</v>
      </c>
      <c r="E93" s="14">
        <v>500</v>
      </c>
      <c r="F93" s="14">
        <v>10</v>
      </c>
      <c r="G93" s="14">
        <v>510</v>
      </c>
      <c r="H93" s="14" t="s">
        <v>89</v>
      </c>
      <c r="I93" s="14">
        <v>52.1</v>
      </c>
      <c r="J93" s="11">
        <v>1284</v>
      </c>
      <c r="K93" s="19">
        <v>18904</v>
      </c>
      <c r="L93" s="15">
        <f t="shared" si="6"/>
        <v>33.81957773512476</v>
      </c>
      <c r="M93" s="17" t="s">
        <v>246</v>
      </c>
    </row>
    <row r="94" spans="1:13">
      <c r="A94" s="17" t="s">
        <v>437</v>
      </c>
      <c r="B94" s="17" t="s">
        <v>347</v>
      </c>
      <c r="C94" s="14"/>
      <c r="D94" s="14">
        <v>1</v>
      </c>
      <c r="E94" s="14">
        <v>500</v>
      </c>
      <c r="F94" s="14">
        <v>10</v>
      </c>
      <c r="G94" s="14">
        <v>510</v>
      </c>
      <c r="H94" s="14" t="s">
        <v>89</v>
      </c>
      <c r="I94" s="14">
        <v>52.1</v>
      </c>
      <c r="J94" s="11"/>
      <c r="K94" s="19">
        <v>2982</v>
      </c>
      <c r="L94" s="15">
        <f t="shared" si="6"/>
        <v>0</v>
      </c>
      <c r="M94" s="17" t="s">
        <v>347</v>
      </c>
    </row>
    <row r="95" spans="1:13">
      <c r="A95" s="17" t="s">
        <v>438</v>
      </c>
      <c r="B95" s="17" t="s">
        <v>349</v>
      </c>
      <c r="C95" s="14"/>
      <c r="D95" s="14">
        <v>1</v>
      </c>
      <c r="E95" s="14">
        <v>500</v>
      </c>
      <c r="F95" s="14">
        <v>10</v>
      </c>
      <c r="G95" s="14">
        <v>510</v>
      </c>
      <c r="H95" s="14" t="s">
        <v>89</v>
      </c>
      <c r="I95" s="14">
        <v>52.1</v>
      </c>
      <c r="J95" s="11"/>
      <c r="K95" s="19">
        <v>1313</v>
      </c>
      <c r="L95" s="15">
        <f t="shared" si="6"/>
        <v>0</v>
      </c>
      <c r="M95" s="17" t="s">
        <v>349</v>
      </c>
    </row>
    <row r="96" spans="1:13">
      <c r="A96" s="17" t="s">
        <v>439</v>
      </c>
      <c r="B96" s="17" t="s">
        <v>343</v>
      </c>
      <c r="C96" s="14">
        <v>1000</v>
      </c>
      <c r="D96" s="14">
        <v>1</v>
      </c>
      <c r="E96" s="14">
        <v>500</v>
      </c>
      <c r="F96" s="14">
        <v>10</v>
      </c>
      <c r="G96" s="14">
        <v>510</v>
      </c>
      <c r="H96" s="14" t="s">
        <v>89</v>
      </c>
      <c r="I96" s="14">
        <v>52.1</v>
      </c>
      <c r="J96" s="11">
        <v>1313</v>
      </c>
      <c r="K96" s="19">
        <v>2594</v>
      </c>
      <c r="L96" s="15">
        <f t="shared" si="6"/>
        <v>24.587332053742799</v>
      </c>
      <c r="M96" s="17" t="s">
        <v>343</v>
      </c>
    </row>
    <row r="97" spans="1:13">
      <c r="A97" s="17" t="s">
        <v>440</v>
      </c>
      <c r="B97" s="17" t="s">
        <v>345</v>
      </c>
      <c r="C97" s="14">
        <v>10000</v>
      </c>
      <c r="D97" s="14">
        <v>1</v>
      </c>
      <c r="E97" s="14">
        <v>500</v>
      </c>
      <c r="F97" s="14">
        <v>10</v>
      </c>
      <c r="G97" s="14">
        <v>510</v>
      </c>
      <c r="H97" s="14" t="s">
        <v>89</v>
      </c>
      <c r="I97" s="14">
        <v>52.1</v>
      </c>
      <c r="J97" s="11">
        <v>1313</v>
      </c>
      <c r="K97" s="19">
        <v>35777</v>
      </c>
      <c r="L97" s="15">
        <f t="shared" si="6"/>
        <v>6614.9712092130521</v>
      </c>
      <c r="M97" s="17" t="s">
        <v>345</v>
      </c>
    </row>
    <row r="98" spans="1:13">
      <c r="A98" s="17" t="s">
        <v>441</v>
      </c>
      <c r="B98" s="17" t="s">
        <v>343</v>
      </c>
      <c r="C98" s="14">
        <v>100</v>
      </c>
      <c r="D98" s="14">
        <v>1</v>
      </c>
      <c r="E98" s="14">
        <v>500</v>
      </c>
      <c r="F98" s="14">
        <v>10</v>
      </c>
      <c r="G98" s="14">
        <v>510</v>
      </c>
      <c r="H98" s="14" t="s">
        <v>89</v>
      </c>
      <c r="I98" s="14">
        <v>52.1</v>
      </c>
      <c r="J98" s="11">
        <v>1313</v>
      </c>
      <c r="K98" s="19">
        <v>35486</v>
      </c>
      <c r="L98" s="15">
        <f t="shared" si="6"/>
        <v>65.591170825335894</v>
      </c>
      <c r="M98" s="17" t="s">
        <v>343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8"/>
  <sheetViews>
    <sheetView workbookViewId="0"/>
  </sheetViews>
  <sheetFormatPr defaultRowHeight="15"/>
  <sheetData>
    <row r="1" spans="1:2">
      <c r="A1" s="1" t="s">
        <v>63</v>
      </c>
    </row>
    <row r="4" spans="1:2">
      <c r="A4" t="s">
        <v>64</v>
      </c>
    </row>
    <row r="5" spans="1:2">
      <c r="B5" t="s">
        <v>65</v>
      </c>
    </row>
    <row r="7" spans="1:2">
      <c r="A7" t="s">
        <v>66</v>
      </c>
    </row>
    <row r="8" spans="1:2">
      <c r="B8" t="s">
        <v>67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L63"/>
  <sheetViews>
    <sheetView workbookViewId="0">
      <selection activeCell="AF37" sqref="AF37"/>
    </sheetView>
  </sheetViews>
  <sheetFormatPr defaultRowHeight="15"/>
  <cols>
    <col min="1" max="1" width="16.140625" style="12" customWidth="1"/>
    <col min="2" max="6" width="9.140625" style="12"/>
    <col min="7" max="7" width="11.85546875" style="12" customWidth="1"/>
    <col min="8" max="10" width="9.140625" style="12"/>
    <col min="11" max="11" width="10.140625" style="12" customWidth="1"/>
    <col min="12" max="18" width="9.140625" style="12"/>
    <col min="19" max="19" width="12" style="12" bestFit="1" customWidth="1"/>
    <col min="20" max="256" width="9.140625" style="12"/>
    <col min="257" max="257" width="16.140625" style="12" customWidth="1"/>
    <col min="258" max="262" width="9.140625" style="12"/>
    <col min="263" max="263" width="11.85546875" style="12" customWidth="1"/>
    <col min="264" max="266" width="9.140625" style="12"/>
    <col min="267" max="267" width="10.140625" style="12" customWidth="1"/>
    <col min="268" max="512" width="9.140625" style="12"/>
    <col min="513" max="513" width="16.140625" style="12" customWidth="1"/>
    <col min="514" max="518" width="9.140625" style="12"/>
    <col min="519" max="519" width="11.85546875" style="12" customWidth="1"/>
    <col min="520" max="522" width="9.140625" style="12"/>
    <col min="523" max="523" width="10.140625" style="12" customWidth="1"/>
    <col min="524" max="768" width="9.140625" style="12"/>
    <col min="769" max="769" width="16.140625" style="12" customWidth="1"/>
    <col min="770" max="774" width="9.140625" style="12"/>
    <col min="775" max="775" width="11.85546875" style="12" customWidth="1"/>
    <col min="776" max="778" width="9.140625" style="12"/>
    <col min="779" max="779" width="10.140625" style="12" customWidth="1"/>
    <col min="780" max="1024" width="9.140625" style="12"/>
    <col min="1025" max="1025" width="16.140625" style="12" customWidth="1"/>
    <col min="1026" max="1030" width="9.140625" style="12"/>
    <col min="1031" max="1031" width="11.85546875" style="12" customWidth="1"/>
    <col min="1032" max="1034" width="9.140625" style="12"/>
    <col min="1035" max="1035" width="10.140625" style="12" customWidth="1"/>
    <col min="1036" max="1280" width="9.140625" style="12"/>
    <col min="1281" max="1281" width="16.140625" style="12" customWidth="1"/>
    <col min="1282" max="1286" width="9.140625" style="12"/>
    <col min="1287" max="1287" width="11.85546875" style="12" customWidth="1"/>
    <col min="1288" max="1290" width="9.140625" style="12"/>
    <col min="1291" max="1291" width="10.140625" style="12" customWidth="1"/>
    <col min="1292" max="1536" width="9.140625" style="12"/>
    <col min="1537" max="1537" width="16.140625" style="12" customWidth="1"/>
    <col min="1538" max="1542" width="9.140625" style="12"/>
    <col min="1543" max="1543" width="11.85546875" style="12" customWidth="1"/>
    <col min="1544" max="1546" width="9.140625" style="12"/>
    <col min="1547" max="1547" width="10.140625" style="12" customWidth="1"/>
    <col min="1548" max="1792" width="9.140625" style="12"/>
    <col min="1793" max="1793" width="16.140625" style="12" customWidth="1"/>
    <col min="1794" max="1798" width="9.140625" style="12"/>
    <col min="1799" max="1799" width="11.85546875" style="12" customWidth="1"/>
    <col min="1800" max="1802" width="9.140625" style="12"/>
    <col min="1803" max="1803" width="10.140625" style="12" customWidth="1"/>
    <col min="1804" max="2048" width="9.140625" style="12"/>
    <col min="2049" max="2049" width="16.140625" style="12" customWidth="1"/>
    <col min="2050" max="2054" width="9.140625" style="12"/>
    <col min="2055" max="2055" width="11.85546875" style="12" customWidth="1"/>
    <col min="2056" max="2058" width="9.140625" style="12"/>
    <col min="2059" max="2059" width="10.140625" style="12" customWidth="1"/>
    <col min="2060" max="2304" width="9.140625" style="12"/>
    <col min="2305" max="2305" width="16.140625" style="12" customWidth="1"/>
    <col min="2306" max="2310" width="9.140625" style="12"/>
    <col min="2311" max="2311" width="11.85546875" style="12" customWidth="1"/>
    <col min="2312" max="2314" width="9.140625" style="12"/>
    <col min="2315" max="2315" width="10.140625" style="12" customWidth="1"/>
    <col min="2316" max="2560" width="9.140625" style="12"/>
    <col min="2561" max="2561" width="16.140625" style="12" customWidth="1"/>
    <col min="2562" max="2566" width="9.140625" style="12"/>
    <col min="2567" max="2567" width="11.85546875" style="12" customWidth="1"/>
    <col min="2568" max="2570" width="9.140625" style="12"/>
    <col min="2571" max="2571" width="10.140625" style="12" customWidth="1"/>
    <col min="2572" max="2816" width="9.140625" style="12"/>
    <col min="2817" max="2817" width="16.140625" style="12" customWidth="1"/>
    <col min="2818" max="2822" width="9.140625" style="12"/>
    <col min="2823" max="2823" width="11.85546875" style="12" customWidth="1"/>
    <col min="2824" max="2826" width="9.140625" style="12"/>
    <col min="2827" max="2827" width="10.140625" style="12" customWidth="1"/>
    <col min="2828" max="3072" width="9.140625" style="12"/>
    <col min="3073" max="3073" width="16.140625" style="12" customWidth="1"/>
    <col min="3074" max="3078" width="9.140625" style="12"/>
    <col min="3079" max="3079" width="11.85546875" style="12" customWidth="1"/>
    <col min="3080" max="3082" width="9.140625" style="12"/>
    <col min="3083" max="3083" width="10.140625" style="12" customWidth="1"/>
    <col min="3084" max="3328" width="9.140625" style="12"/>
    <col min="3329" max="3329" width="16.140625" style="12" customWidth="1"/>
    <col min="3330" max="3334" width="9.140625" style="12"/>
    <col min="3335" max="3335" width="11.85546875" style="12" customWidth="1"/>
    <col min="3336" max="3338" width="9.140625" style="12"/>
    <col min="3339" max="3339" width="10.140625" style="12" customWidth="1"/>
    <col min="3340" max="3584" width="9.140625" style="12"/>
    <col min="3585" max="3585" width="16.140625" style="12" customWidth="1"/>
    <col min="3586" max="3590" width="9.140625" style="12"/>
    <col min="3591" max="3591" width="11.85546875" style="12" customWidth="1"/>
    <col min="3592" max="3594" width="9.140625" style="12"/>
    <col min="3595" max="3595" width="10.140625" style="12" customWidth="1"/>
    <col min="3596" max="3840" width="9.140625" style="12"/>
    <col min="3841" max="3841" width="16.140625" style="12" customWidth="1"/>
    <col min="3842" max="3846" width="9.140625" style="12"/>
    <col min="3847" max="3847" width="11.85546875" style="12" customWidth="1"/>
    <col min="3848" max="3850" width="9.140625" style="12"/>
    <col min="3851" max="3851" width="10.140625" style="12" customWidth="1"/>
    <col min="3852" max="4096" width="9.140625" style="12"/>
    <col min="4097" max="4097" width="16.140625" style="12" customWidth="1"/>
    <col min="4098" max="4102" width="9.140625" style="12"/>
    <col min="4103" max="4103" width="11.85546875" style="12" customWidth="1"/>
    <col min="4104" max="4106" width="9.140625" style="12"/>
    <col min="4107" max="4107" width="10.140625" style="12" customWidth="1"/>
    <col min="4108" max="4352" width="9.140625" style="12"/>
    <col min="4353" max="4353" width="16.140625" style="12" customWidth="1"/>
    <col min="4354" max="4358" width="9.140625" style="12"/>
    <col min="4359" max="4359" width="11.85546875" style="12" customWidth="1"/>
    <col min="4360" max="4362" width="9.140625" style="12"/>
    <col min="4363" max="4363" width="10.140625" style="12" customWidth="1"/>
    <col min="4364" max="4608" width="9.140625" style="12"/>
    <col min="4609" max="4609" width="16.140625" style="12" customWidth="1"/>
    <col min="4610" max="4614" width="9.140625" style="12"/>
    <col min="4615" max="4615" width="11.85546875" style="12" customWidth="1"/>
    <col min="4616" max="4618" width="9.140625" style="12"/>
    <col min="4619" max="4619" width="10.140625" style="12" customWidth="1"/>
    <col min="4620" max="4864" width="9.140625" style="12"/>
    <col min="4865" max="4865" width="16.140625" style="12" customWidth="1"/>
    <col min="4866" max="4870" width="9.140625" style="12"/>
    <col min="4871" max="4871" width="11.85546875" style="12" customWidth="1"/>
    <col min="4872" max="4874" width="9.140625" style="12"/>
    <col min="4875" max="4875" width="10.140625" style="12" customWidth="1"/>
    <col min="4876" max="5120" width="9.140625" style="12"/>
    <col min="5121" max="5121" width="16.140625" style="12" customWidth="1"/>
    <col min="5122" max="5126" width="9.140625" style="12"/>
    <col min="5127" max="5127" width="11.85546875" style="12" customWidth="1"/>
    <col min="5128" max="5130" width="9.140625" style="12"/>
    <col min="5131" max="5131" width="10.140625" style="12" customWidth="1"/>
    <col min="5132" max="5376" width="9.140625" style="12"/>
    <col min="5377" max="5377" width="16.140625" style="12" customWidth="1"/>
    <col min="5378" max="5382" width="9.140625" style="12"/>
    <col min="5383" max="5383" width="11.85546875" style="12" customWidth="1"/>
    <col min="5384" max="5386" width="9.140625" style="12"/>
    <col min="5387" max="5387" width="10.140625" style="12" customWidth="1"/>
    <col min="5388" max="5632" width="9.140625" style="12"/>
    <col min="5633" max="5633" width="16.140625" style="12" customWidth="1"/>
    <col min="5634" max="5638" width="9.140625" style="12"/>
    <col min="5639" max="5639" width="11.85546875" style="12" customWidth="1"/>
    <col min="5640" max="5642" width="9.140625" style="12"/>
    <col min="5643" max="5643" width="10.140625" style="12" customWidth="1"/>
    <col min="5644" max="5888" width="9.140625" style="12"/>
    <col min="5889" max="5889" width="16.140625" style="12" customWidth="1"/>
    <col min="5890" max="5894" width="9.140625" style="12"/>
    <col min="5895" max="5895" width="11.85546875" style="12" customWidth="1"/>
    <col min="5896" max="5898" width="9.140625" style="12"/>
    <col min="5899" max="5899" width="10.140625" style="12" customWidth="1"/>
    <col min="5900" max="6144" width="9.140625" style="12"/>
    <col min="6145" max="6145" width="16.140625" style="12" customWidth="1"/>
    <col min="6146" max="6150" width="9.140625" style="12"/>
    <col min="6151" max="6151" width="11.85546875" style="12" customWidth="1"/>
    <col min="6152" max="6154" width="9.140625" style="12"/>
    <col min="6155" max="6155" width="10.140625" style="12" customWidth="1"/>
    <col min="6156" max="6400" width="9.140625" style="12"/>
    <col min="6401" max="6401" width="16.140625" style="12" customWidth="1"/>
    <col min="6402" max="6406" width="9.140625" style="12"/>
    <col min="6407" max="6407" width="11.85546875" style="12" customWidth="1"/>
    <col min="6408" max="6410" width="9.140625" style="12"/>
    <col min="6411" max="6411" width="10.140625" style="12" customWidth="1"/>
    <col min="6412" max="6656" width="9.140625" style="12"/>
    <col min="6657" max="6657" width="16.140625" style="12" customWidth="1"/>
    <col min="6658" max="6662" width="9.140625" style="12"/>
    <col min="6663" max="6663" width="11.85546875" style="12" customWidth="1"/>
    <col min="6664" max="6666" width="9.140625" style="12"/>
    <col min="6667" max="6667" width="10.140625" style="12" customWidth="1"/>
    <col min="6668" max="6912" width="9.140625" style="12"/>
    <col min="6913" max="6913" width="16.140625" style="12" customWidth="1"/>
    <col min="6914" max="6918" width="9.140625" style="12"/>
    <col min="6919" max="6919" width="11.85546875" style="12" customWidth="1"/>
    <col min="6920" max="6922" width="9.140625" style="12"/>
    <col min="6923" max="6923" width="10.140625" style="12" customWidth="1"/>
    <col min="6924" max="7168" width="9.140625" style="12"/>
    <col min="7169" max="7169" width="16.140625" style="12" customWidth="1"/>
    <col min="7170" max="7174" width="9.140625" style="12"/>
    <col min="7175" max="7175" width="11.85546875" style="12" customWidth="1"/>
    <col min="7176" max="7178" width="9.140625" style="12"/>
    <col min="7179" max="7179" width="10.140625" style="12" customWidth="1"/>
    <col min="7180" max="7424" width="9.140625" style="12"/>
    <col min="7425" max="7425" width="16.140625" style="12" customWidth="1"/>
    <col min="7426" max="7430" width="9.140625" style="12"/>
    <col min="7431" max="7431" width="11.85546875" style="12" customWidth="1"/>
    <col min="7432" max="7434" width="9.140625" style="12"/>
    <col min="7435" max="7435" width="10.140625" style="12" customWidth="1"/>
    <col min="7436" max="7680" width="9.140625" style="12"/>
    <col min="7681" max="7681" width="16.140625" style="12" customWidth="1"/>
    <col min="7682" max="7686" width="9.140625" style="12"/>
    <col min="7687" max="7687" width="11.85546875" style="12" customWidth="1"/>
    <col min="7688" max="7690" width="9.140625" style="12"/>
    <col min="7691" max="7691" width="10.140625" style="12" customWidth="1"/>
    <col min="7692" max="7936" width="9.140625" style="12"/>
    <col min="7937" max="7937" width="16.140625" style="12" customWidth="1"/>
    <col min="7938" max="7942" width="9.140625" style="12"/>
    <col min="7943" max="7943" width="11.85546875" style="12" customWidth="1"/>
    <col min="7944" max="7946" width="9.140625" style="12"/>
    <col min="7947" max="7947" width="10.140625" style="12" customWidth="1"/>
    <col min="7948" max="8192" width="9.140625" style="12"/>
    <col min="8193" max="8193" width="16.140625" style="12" customWidth="1"/>
    <col min="8194" max="8198" width="9.140625" style="12"/>
    <col min="8199" max="8199" width="11.85546875" style="12" customWidth="1"/>
    <col min="8200" max="8202" width="9.140625" style="12"/>
    <col min="8203" max="8203" width="10.140625" style="12" customWidth="1"/>
    <col min="8204" max="8448" width="9.140625" style="12"/>
    <col min="8449" max="8449" width="16.140625" style="12" customWidth="1"/>
    <col min="8450" max="8454" width="9.140625" style="12"/>
    <col min="8455" max="8455" width="11.85546875" style="12" customWidth="1"/>
    <col min="8456" max="8458" width="9.140625" style="12"/>
    <col min="8459" max="8459" width="10.140625" style="12" customWidth="1"/>
    <col min="8460" max="8704" width="9.140625" style="12"/>
    <col min="8705" max="8705" width="16.140625" style="12" customWidth="1"/>
    <col min="8706" max="8710" width="9.140625" style="12"/>
    <col min="8711" max="8711" width="11.85546875" style="12" customWidth="1"/>
    <col min="8712" max="8714" width="9.140625" style="12"/>
    <col min="8715" max="8715" width="10.140625" style="12" customWidth="1"/>
    <col min="8716" max="8960" width="9.140625" style="12"/>
    <col min="8961" max="8961" width="16.140625" style="12" customWidth="1"/>
    <col min="8962" max="8966" width="9.140625" style="12"/>
    <col min="8967" max="8967" width="11.85546875" style="12" customWidth="1"/>
    <col min="8968" max="8970" width="9.140625" style="12"/>
    <col min="8971" max="8971" width="10.140625" style="12" customWidth="1"/>
    <col min="8972" max="9216" width="9.140625" style="12"/>
    <col min="9217" max="9217" width="16.140625" style="12" customWidth="1"/>
    <col min="9218" max="9222" width="9.140625" style="12"/>
    <col min="9223" max="9223" width="11.85546875" style="12" customWidth="1"/>
    <col min="9224" max="9226" width="9.140625" style="12"/>
    <col min="9227" max="9227" width="10.140625" style="12" customWidth="1"/>
    <col min="9228" max="9472" width="9.140625" style="12"/>
    <col min="9473" max="9473" width="16.140625" style="12" customWidth="1"/>
    <col min="9474" max="9478" width="9.140625" style="12"/>
    <col min="9479" max="9479" width="11.85546875" style="12" customWidth="1"/>
    <col min="9480" max="9482" width="9.140625" style="12"/>
    <col min="9483" max="9483" width="10.140625" style="12" customWidth="1"/>
    <col min="9484" max="9728" width="9.140625" style="12"/>
    <col min="9729" max="9729" width="16.140625" style="12" customWidth="1"/>
    <col min="9730" max="9734" width="9.140625" style="12"/>
    <col min="9735" max="9735" width="11.85546875" style="12" customWidth="1"/>
    <col min="9736" max="9738" width="9.140625" style="12"/>
    <col min="9739" max="9739" width="10.140625" style="12" customWidth="1"/>
    <col min="9740" max="9984" width="9.140625" style="12"/>
    <col min="9985" max="9985" width="16.140625" style="12" customWidth="1"/>
    <col min="9986" max="9990" width="9.140625" style="12"/>
    <col min="9991" max="9991" width="11.85546875" style="12" customWidth="1"/>
    <col min="9992" max="9994" width="9.140625" style="12"/>
    <col min="9995" max="9995" width="10.140625" style="12" customWidth="1"/>
    <col min="9996" max="10240" width="9.140625" style="12"/>
    <col min="10241" max="10241" width="16.140625" style="12" customWidth="1"/>
    <col min="10242" max="10246" width="9.140625" style="12"/>
    <col min="10247" max="10247" width="11.85546875" style="12" customWidth="1"/>
    <col min="10248" max="10250" width="9.140625" style="12"/>
    <col min="10251" max="10251" width="10.140625" style="12" customWidth="1"/>
    <col min="10252" max="10496" width="9.140625" style="12"/>
    <col min="10497" max="10497" width="16.140625" style="12" customWidth="1"/>
    <col min="10498" max="10502" width="9.140625" style="12"/>
    <col min="10503" max="10503" width="11.85546875" style="12" customWidth="1"/>
    <col min="10504" max="10506" width="9.140625" style="12"/>
    <col min="10507" max="10507" width="10.140625" style="12" customWidth="1"/>
    <col min="10508" max="10752" width="9.140625" style="12"/>
    <col min="10753" max="10753" width="16.140625" style="12" customWidth="1"/>
    <col min="10754" max="10758" width="9.140625" style="12"/>
    <col min="10759" max="10759" width="11.85546875" style="12" customWidth="1"/>
    <col min="10760" max="10762" width="9.140625" style="12"/>
    <col min="10763" max="10763" width="10.140625" style="12" customWidth="1"/>
    <col min="10764" max="11008" width="9.140625" style="12"/>
    <col min="11009" max="11009" width="16.140625" style="12" customWidth="1"/>
    <col min="11010" max="11014" width="9.140625" style="12"/>
    <col min="11015" max="11015" width="11.85546875" style="12" customWidth="1"/>
    <col min="11016" max="11018" width="9.140625" style="12"/>
    <col min="11019" max="11019" width="10.140625" style="12" customWidth="1"/>
    <col min="11020" max="11264" width="9.140625" style="12"/>
    <col min="11265" max="11265" width="16.140625" style="12" customWidth="1"/>
    <col min="11266" max="11270" width="9.140625" style="12"/>
    <col min="11271" max="11271" width="11.85546875" style="12" customWidth="1"/>
    <col min="11272" max="11274" width="9.140625" style="12"/>
    <col min="11275" max="11275" width="10.140625" style="12" customWidth="1"/>
    <col min="11276" max="11520" width="9.140625" style="12"/>
    <col min="11521" max="11521" width="16.140625" style="12" customWidth="1"/>
    <col min="11522" max="11526" width="9.140625" style="12"/>
    <col min="11527" max="11527" width="11.85546875" style="12" customWidth="1"/>
    <col min="11528" max="11530" width="9.140625" style="12"/>
    <col min="11531" max="11531" width="10.140625" style="12" customWidth="1"/>
    <col min="11532" max="11776" width="9.140625" style="12"/>
    <col min="11777" max="11777" width="16.140625" style="12" customWidth="1"/>
    <col min="11778" max="11782" width="9.140625" style="12"/>
    <col min="11783" max="11783" width="11.85546875" style="12" customWidth="1"/>
    <col min="11784" max="11786" width="9.140625" style="12"/>
    <col min="11787" max="11787" width="10.140625" style="12" customWidth="1"/>
    <col min="11788" max="12032" width="9.140625" style="12"/>
    <col min="12033" max="12033" width="16.140625" style="12" customWidth="1"/>
    <col min="12034" max="12038" width="9.140625" style="12"/>
    <col min="12039" max="12039" width="11.85546875" style="12" customWidth="1"/>
    <col min="12040" max="12042" width="9.140625" style="12"/>
    <col min="12043" max="12043" width="10.140625" style="12" customWidth="1"/>
    <col min="12044" max="12288" width="9.140625" style="12"/>
    <col min="12289" max="12289" width="16.140625" style="12" customWidth="1"/>
    <col min="12290" max="12294" width="9.140625" style="12"/>
    <col min="12295" max="12295" width="11.85546875" style="12" customWidth="1"/>
    <col min="12296" max="12298" width="9.140625" style="12"/>
    <col min="12299" max="12299" width="10.140625" style="12" customWidth="1"/>
    <col min="12300" max="12544" width="9.140625" style="12"/>
    <col min="12545" max="12545" width="16.140625" style="12" customWidth="1"/>
    <col min="12546" max="12550" width="9.140625" style="12"/>
    <col min="12551" max="12551" width="11.85546875" style="12" customWidth="1"/>
    <col min="12552" max="12554" width="9.140625" style="12"/>
    <col min="12555" max="12555" width="10.140625" style="12" customWidth="1"/>
    <col min="12556" max="12800" width="9.140625" style="12"/>
    <col min="12801" max="12801" width="16.140625" style="12" customWidth="1"/>
    <col min="12802" max="12806" width="9.140625" style="12"/>
    <col min="12807" max="12807" width="11.85546875" style="12" customWidth="1"/>
    <col min="12808" max="12810" width="9.140625" style="12"/>
    <col min="12811" max="12811" width="10.140625" style="12" customWidth="1"/>
    <col min="12812" max="13056" width="9.140625" style="12"/>
    <col min="13057" max="13057" width="16.140625" style="12" customWidth="1"/>
    <col min="13058" max="13062" width="9.140625" style="12"/>
    <col min="13063" max="13063" width="11.85546875" style="12" customWidth="1"/>
    <col min="13064" max="13066" width="9.140625" style="12"/>
    <col min="13067" max="13067" width="10.140625" style="12" customWidth="1"/>
    <col min="13068" max="13312" width="9.140625" style="12"/>
    <col min="13313" max="13313" width="16.140625" style="12" customWidth="1"/>
    <col min="13314" max="13318" width="9.140625" style="12"/>
    <col min="13319" max="13319" width="11.85546875" style="12" customWidth="1"/>
    <col min="13320" max="13322" width="9.140625" style="12"/>
    <col min="13323" max="13323" width="10.140625" style="12" customWidth="1"/>
    <col min="13324" max="13568" width="9.140625" style="12"/>
    <col min="13569" max="13569" width="16.140625" style="12" customWidth="1"/>
    <col min="13570" max="13574" width="9.140625" style="12"/>
    <col min="13575" max="13575" width="11.85546875" style="12" customWidth="1"/>
    <col min="13576" max="13578" width="9.140625" style="12"/>
    <col min="13579" max="13579" width="10.140625" style="12" customWidth="1"/>
    <col min="13580" max="13824" width="9.140625" style="12"/>
    <col min="13825" max="13825" width="16.140625" style="12" customWidth="1"/>
    <col min="13826" max="13830" width="9.140625" style="12"/>
    <col min="13831" max="13831" width="11.85546875" style="12" customWidth="1"/>
    <col min="13832" max="13834" width="9.140625" style="12"/>
    <col min="13835" max="13835" width="10.140625" style="12" customWidth="1"/>
    <col min="13836" max="14080" width="9.140625" style="12"/>
    <col min="14081" max="14081" width="16.140625" style="12" customWidth="1"/>
    <col min="14082" max="14086" width="9.140625" style="12"/>
    <col min="14087" max="14087" width="11.85546875" style="12" customWidth="1"/>
    <col min="14088" max="14090" width="9.140625" style="12"/>
    <col min="14091" max="14091" width="10.140625" style="12" customWidth="1"/>
    <col min="14092" max="14336" width="9.140625" style="12"/>
    <col min="14337" max="14337" width="16.140625" style="12" customWidth="1"/>
    <col min="14338" max="14342" width="9.140625" style="12"/>
    <col min="14343" max="14343" width="11.85546875" style="12" customWidth="1"/>
    <col min="14344" max="14346" width="9.140625" style="12"/>
    <col min="14347" max="14347" width="10.140625" style="12" customWidth="1"/>
    <col min="14348" max="14592" width="9.140625" style="12"/>
    <col min="14593" max="14593" width="16.140625" style="12" customWidth="1"/>
    <col min="14594" max="14598" width="9.140625" style="12"/>
    <col min="14599" max="14599" width="11.85546875" style="12" customWidth="1"/>
    <col min="14600" max="14602" width="9.140625" style="12"/>
    <col min="14603" max="14603" width="10.140625" style="12" customWidth="1"/>
    <col min="14604" max="14848" width="9.140625" style="12"/>
    <col min="14849" max="14849" width="16.140625" style="12" customWidth="1"/>
    <col min="14850" max="14854" width="9.140625" style="12"/>
    <col min="14855" max="14855" width="11.85546875" style="12" customWidth="1"/>
    <col min="14856" max="14858" width="9.140625" style="12"/>
    <col min="14859" max="14859" width="10.140625" style="12" customWidth="1"/>
    <col min="14860" max="15104" width="9.140625" style="12"/>
    <col min="15105" max="15105" width="16.140625" style="12" customWidth="1"/>
    <col min="15106" max="15110" width="9.140625" style="12"/>
    <col min="15111" max="15111" width="11.85546875" style="12" customWidth="1"/>
    <col min="15112" max="15114" width="9.140625" style="12"/>
    <col min="15115" max="15115" width="10.140625" style="12" customWidth="1"/>
    <col min="15116" max="15360" width="9.140625" style="12"/>
    <col min="15361" max="15361" width="16.140625" style="12" customWidth="1"/>
    <col min="15362" max="15366" width="9.140625" style="12"/>
    <col min="15367" max="15367" width="11.85546875" style="12" customWidth="1"/>
    <col min="15368" max="15370" width="9.140625" style="12"/>
    <col min="15371" max="15371" width="10.140625" style="12" customWidth="1"/>
    <col min="15372" max="15616" width="9.140625" style="12"/>
    <col min="15617" max="15617" width="16.140625" style="12" customWidth="1"/>
    <col min="15618" max="15622" width="9.140625" style="12"/>
    <col min="15623" max="15623" width="11.85546875" style="12" customWidth="1"/>
    <col min="15624" max="15626" width="9.140625" style="12"/>
    <col min="15627" max="15627" width="10.140625" style="12" customWidth="1"/>
    <col min="15628" max="15872" width="9.140625" style="12"/>
    <col min="15873" max="15873" width="16.140625" style="12" customWidth="1"/>
    <col min="15874" max="15878" width="9.140625" style="12"/>
    <col min="15879" max="15879" width="11.85546875" style="12" customWidth="1"/>
    <col min="15880" max="15882" width="9.140625" style="12"/>
    <col min="15883" max="15883" width="10.140625" style="12" customWidth="1"/>
    <col min="15884" max="16128" width="9.140625" style="12"/>
    <col min="16129" max="16129" width="16.140625" style="12" customWidth="1"/>
    <col min="16130" max="16134" width="9.140625" style="12"/>
    <col min="16135" max="16135" width="11.85546875" style="12" customWidth="1"/>
    <col min="16136" max="16138" width="9.140625" style="12"/>
    <col min="16139" max="16139" width="10.140625" style="12" customWidth="1"/>
    <col min="16140" max="16384" width="9.140625" style="12"/>
  </cols>
  <sheetData>
    <row r="1" spans="1:23" s="34" customFormat="1" ht="20.25">
      <c r="A1" s="26" t="s">
        <v>493</v>
      </c>
      <c r="B1" s="27"/>
      <c r="C1" s="28"/>
      <c r="D1" s="29"/>
      <c r="E1" s="28"/>
      <c r="F1" s="28"/>
      <c r="G1" s="30"/>
      <c r="H1" s="28"/>
      <c r="I1" s="31"/>
      <c r="J1" s="32"/>
      <c r="K1" s="33"/>
      <c r="L1" s="33"/>
      <c r="M1" s="33"/>
    </row>
    <row r="2" spans="1:23" s="34" customFormat="1" ht="20.25">
      <c r="A2" s="26" t="s">
        <v>494</v>
      </c>
      <c r="B2" s="27"/>
      <c r="C2" s="28"/>
      <c r="D2" s="29"/>
      <c r="E2" s="28"/>
      <c r="F2" s="28"/>
      <c r="G2" s="30"/>
      <c r="H2" s="28"/>
      <c r="I2" s="31"/>
      <c r="J2" s="32"/>
      <c r="K2" s="33"/>
      <c r="L2" s="33"/>
      <c r="M2" s="33"/>
    </row>
    <row r="3" spans="1:23" s="42" customFormat="1" ht="12.75">
      <c r="A3" s="35"/>
      <c r="B3" s="36"/>
      <c r="C3" s="37"/>
      <c r="D3" s="37"/>
      <c r="E3" s="37"/>
      <c r="F3" s="37"/>
      <c r="G3" s="38"/>
      <c r="H3" s="37"/>
      <c r="I3" s="39"/>
      <c r="J3" s="40"/>
      <c r="K3" s="41"/>
      <c r="L3" s="41"/>
      <c r="M3" s="41"/>
    </row>
    <row r="4" spans="1:23" s="42" customFormat="1" ht="12.75">
      <c r="A4" s="43" t="s">
        <v>495</v>
      </c>
      <c r="B4" s="36"/>
      <c r="C4" s="37"/>
      <c r="D4" s="37"/>
      <c r="E4" s="44"/>
      <c r="F4" s="37"/>
      <c r="G4" s="38"/>
      <c r="H4" s="45" t="s">
        <v>496</v>
      </c>
      <c r="I4" s="36"/>
      <c r="J4" s="40"/>
      <c r="K4" s="41"/>
      <c r="M4" s="41"/>
    </row>
    <row r="5" spans="1:23" s="42" customFormat="1" ht="12.75">
      <c r="A5" s="43" t="s">
        <v>497</v>
      </c>
      <c r="B5" s="36"/>
      <c r="C5" s="37"/>
      <c r="D5" s="37"/>
      <c r="E5" s="44"/>
      <c r="F5" s="37"/>
      <c r="G5" s="38"/>
      <c r="H5" s="45" t="s">
        <v>498</v>
      </c>
      <c r="I5" s="36"/>
      <c r="J5" s="40"/>
      <c r="K5" s="41"/>
      <c r="M5" s="41"/>
    </row>
    <row r="6" spans="1:23" s="42" customFormat="1" ht="12.75">
      <c r="A6" s="43" t="s">
        <v>499</v>
      </c>
      <c r="B6" s="36"/>
      <c r="C6" s="37"/>
      <c r="D6" s="37"/>
      <c r="E6" s="44"/>
      <c r="F6" s="37"/>
      <c r="G6" s="38"/>
      <c r="H6" s="45" t="s">
        <v>500</v>
      </c>
      <c r="I6" s="36"/>
      <c r="J6" s="40"/>
      <c r="K6" s="41"/>
      <c r="M6" s="41"/>
    </row>
    <row r="7" spans="1:23" s="42" customFormat="1" ht="12.75">
      <c r="A7" s="43" t="s">
        <v>501</v>
      </c>
      <c r="B7" s="36"/>
      <c r="C7" s="37"/>
      <c r="D7" s="37"/>
      <c r="E7" s="44"/>
      <c r="F7" s="36"/>
      <c r="G7" s="46"/>
      <c r="H7" s="47" t="s">
        <v>502</v>
      </c>
      <c r="I7" s="36"/>
      <c r="J7" s="40"/>
      <c r="K7" s="41"/>
      <c r="M7" s="41"/>
    </row>
    <row r="8" spans="1:23" s="42" customFormat="1" ht="12.75">
      <c r="A8" s="43" t="s">
        <v>503</v>
      </c>
      <c r="B8" s="36"/>
      <c r="C8" s="37"/>
      <c r="D8" s="37"/>
      <c r="E8" s="44"/>
    </row>
    <row r="9" spans="1:23" s="42" customFormat="1" ht="14.25">
      <c r="A9" s="35" t="s">
        <v>504</v>
      </c>
      <c r="B9" s="36"/>
      <c r="C9" s="37"/>
      <c r="D9" s="37"/>
      <c r="E9" s="37"/>
      <c r="J9" s="48" t="s">
        <v>505</v>
      </c>
      <c r="K9" s="49"/>
      <c r="L9" s="50"/>
    </row>
    <row r="10" spans="1:23" s="42" customFormat="1" ht="12.75">
      <c r="A10" s="36"/>
      <c r="B10" s="51"/>
      <c r="C10" s="37"/>
      <c r="D10" s="37"/>
      <c r="E10" s="37"/>
      <c r="J10" s="49"/>
      <c r="K10" s="50" t="s">
        <v>506</v>
      </c>
      <c r="L10" s="49">
        <v>10.73</v>
      </c>
    </row>
    <row r="11" spans="1:23" s="42" customFormat="1" ht="14.25">
      <c r="A11" s="52" t="s">
        <v>507</v>
      </c>
      <c r="B11" s="36"/>
      <c r="C11" s="53"/>
      <c r="D11" s="37"/>
      <c r="E11" s="37"/>
      <c r="F11" s="37"/>
      <c r="G11" s="37"/>
      <c r="H11" s="37"/>
      <c r="I11" s="37"/>
      <c r="J11" s="49"/>
      <c r="K11" s="50" t="s">
        <v>508</v>
      </c>
      <c r="L11" s="49">
        <v>7.4</v>
      </c>
    </row>
    <row r="12" spans="1:23" s="42" customFormat="1">
      <c r="A12" s="54" t="s">
        <v>509</v>
      </c>
      <c r="B12" s="51"/>
      <c r="C12" s="53"/>
      <c r="D12" s="37"/>
      <c r="E12" s="37"/>
      <c r="F12" s="37"/>
      <c r="G12" s="37"/>
      <c r="H12" s="37"/>
      <c r="I12" s="37"/>
      <c r="J12" s="40"/>
      <c r="K12" s="46"/>
    </row>
    <row r="13" spans="1:23" s="42" customFormat="1">
      <c r="A13" s="54"/>
      <c r="B13" s="51"/>
      <c r="C13" s="53"/>
      <c r="D13" s="37"/>
      <c r="E13" s="37"/>
      <c r="F13" s="37"/>
      <c r="G13" s="37"/>
      <c r="H13" s="37"/>
      <c r="I13" s="37"/>
      <c r="J13" s="40"/>
      <c r="K13" s="46"/>
      <c r="M13" s="55" t="s">
        <v>1</v>
      </c>
      <c r="N13" s="55" t="s">
        <v>2</v>
      </c>
      <c r="O13" s="56" t="s">
        <v>510</v>
      </c>
      <c r="P13" s="55" t="s">
        <v>511</v>
      </c>
      <c r="Q13" s="86" t="s">
        <v>512</v>
      </c>
      <c r="R13" s="86" t="s">
        <v>513</v>
      </c>
      <c r="S13" s="86" t="s">
        <v>514</v>
      </c>
    </row>
    <row r="14" spans="1:23" s="55" customFormat="1">
      <c r="A14" s="57" t="s">
        <v>515</v>
      </c>
      <c r="B14" s="58" t="s">
        <v>516</v>
      </c>
      <c r="C14" s="59" t="s">
        <v>517</v>
      </c>
      <c r="D14" s="59" t="s">
        <v>518</v>
      </c>
      <c r="E14" s="59" t="s">
        <v>519</v>
      </c>
      <c r="F14" s="60" t="s">
        <v>520</v>
      </c>
      <c r="G14" s="61" t="s">
        <v>521</v>
      </c>
      <c r="H14" s="62" t="s">
        <v>30</v>
      </c>
      <c r="I14" s="63" t="s">
        <v>522</v>
      </c>
      <c r="K14" s="56"/>
      <c r="P14" s="56"/>
      <c r="Q14" s="86"/>
      <c r="R14" s="86"/>
      <c r="S14" s="86"/>
    </row>
    <row r="15" spans="1:23" s="55" customFormat="1" ht="15.75" customHeight="1" thickBot="1">
      <c r="A15" s="64" t="s">
        <v>28</v>
      </c>
      <c r="B15" s="65"/>
      <c r="C15" s="66" t="s">
        <v>523</v>
      </c>
      <c r="D15" s="66" t="s">
        <v>524</v>
      </c>
      <c r="E15" s="66" t="s">
        <v>525</v>
      </c>
      <c r="F15" s="66" t="s">
        <v>526</v>
      </c>
      <c r="G15" s="67"/>
      <c r="H15" s="68" t="s">
        <v>527</v>
      </c>
      <c r="I15" s="69"/>
      <c r="K15" s="56"/>
    </row>
    <row r="16" spans="1:23" ht="13.5" customHeight="1" thickTop="1">
      <c r="M16" s="12" t="s">
        <v>1</v>
      </c>
      <c r="N16" s="12" t="s">
        <v>2</v>
      </c>
      <c r="O16" s="12" t="s">
        <v>3</v>
      </c>
      <c r="P16" s="12" t="s">
        <v>528</v>
      </c>
      <c r="Q16" s="12" t="s">
        <v>529</v>
      </c>
      <c r="R16" s="12" t="s">
        <v>530</v>
      </c>
      <c r="S16" s="12" t="s">
        <v>519</v>
      </c>
      <c r="T16" s="12" t="s">
        <v>519</v>
      </c>
      <c r="U16" s="12" t="s">
        <v>531</v>
      </c>
      <c r="V16" s="12" t="s">
        <v>532</v>
      </c>
      <c r="W16" s="12" t="s">
        <v>533</v>
      </c>
    </row>
    <row r="17" spans="1:31" ht="12.75" customHeight="1">
      <c r="A17" s="70" t="s">
        <v>534</v>
      </c>
      <c r="B17" s="70" t="s">
        <v>506</v>
      </c>
      <c r="C17" s="71">
        <v>0.20699999999999999</v>
      </c>
      <c r="D17" s="71">
        <v>24.754412179170181</v>
      </c>
      <c r="E17" s="72">
        <v>2.7574264020247772</v>
      </c>
      <c r="F17" s="73">
        <v>10.875172560900792</v>
      </c>
      <c r="G17" s="46"/>
      <c r="H17" s="74">
        <v>41534</v>
      </c>
      <c r="I17" s="36"/>
      <c r="R17" s="12" t="s">
        <v>535</v>
      </c>
      <c r="S17" s="12" t="s">
        <v>536</v>
      </c>
      <c r="T17" s="12" t="s">
        <v>537</v>
      </c>
      <c r="V17" s="12" t="s">
        <v>537</v>
      </c>
      <c r="W17" s="12" t="s">
        <v>538</v>
      </c>
    </row>
    <row r="18" spans="1:31">
      <c r="A18" s="75" t="s">
        <v>539</v>
      </c>
      <c r="B18" s="75" t="s">
        <v>540</v>
      </c>
      <c r="C18" s="76">
        <v>1</v>
      </c>
      <c r="D18" s="77">
        <v>0.42847630415653348</v>
      </c>
      <c r="E18" s="78">
        <v>-0.27428008210542382</v>
      </c>
      <c r="F18" s="73">
        <v>67.198774563534968</v>
      </c>
      <c r="G18" s="79">
        <v>0.39082221650063065</v>
      </c>
      <c r="H18" s="74">
        <v>41534</v>
      </c>
      <c r="I18" s="80" t="s">
        <v>541</v>
      </c>
      <c r="M18" s="12" t="s">
        <v>10</v>
      </c>
      <c r="N18" s="12" t="s">
        <v>14</v>
      </c>
      <c r="O18" s="12" t="s">
        <v>12</v>
      </c>
      <c r="P18" s="12" t="s">
        <v>542</v>
      </c>
      <c r="Q18" s="12" t="s">
        <v>12</v>
      </c>
      <c r="R18" s="12">
        <v>200</v>
      </c>
      <c r="S18" s="81">
        <f>E19</f>
        <v>1.3893698208714653</v>
      </c>
      <c r="T18" s="12">
        <f>S18/R18</f>
        <v>6.9468491043573263E-3</v>
      </c>
      <c r="U18" s="81">
        <f>((F19/1000)+1)*0.0036765</f>
        <v>9.2461812622654876E-2</v>
      </c>
      <c r="V18" s="81">
        <f>T18*(U18-0.003716)</f>
        <v>6.1650376893315317E-4</v>
      </c>
      <c r="W18" s="81">
        <f>V18*1000</f>
        <v>0.61650376893315317</v>
      </c>
      <c r="X18" s="81"/>
    </row>
    <row r="19" spans="1:31">
      <c r="A19" s="75" t="s">
        <v>543</v>
      </c>
      <c r="B19" s="75" t="s">
        <v>544</v>
      </c>
      <c r="C19" s="76">
        <v>1</v>
      </c>
      <c r="D19" s="77">
        <v>14.527909231885667</v>
      </c>
      <c r="E19" s="78">
        <v>1.3893698208714653</v>
      </c>
      <c r="F19" s="73">
        <v>24149.411838067423</v>
      </c>
      <c r="G19" s="79">
        <v>8.4636196482404582</v>
      </c>
      <c r="H19" s="74">
        <v>41534</v>
      </c>
      <c r="M19" s="12" t="s">
        <v>10</v>
      </c>
      <c r="N19" s="12" t="s">
        <v>14</v>
      </c>
      <c r="O19" s="12" t="s">
        <v>17</v>
      </c>
      <c r="P19" s="12" t="s">
        <v>542</v>
      </c>
      <c r="Q19" s="12" t="s">
        <v>17</v>
      </c>
      <c r="R19" s="12">
        <v>100</v>
      </c>
      <c r="S19" s="81">
        <f>E33</f>
        <v>0.63871726133192863</v>
      </c>
      <c r="T19" s="12">
        <f t="shared" ref="T19:T35" si="0">S19/R19</f>
        <v>6.387172613319286E-3</v>
      </c>
      <c r="U19" s="81">
        <f>((F33/1000)+1)*0.0036765</f>
        <v>0.11184984667918259</v>
      </c>
      <c r="V19" s="81">
        <f t="shared" ref="V19:V37" si="1">T19*(U19-0.003716)</f>
        <v>6.9066954408214163E-4</v>
      </c>
      <c r="W19" s="81">
        <f t="shared" ref="W19:W37" si="2">V19*1000</f>
        <v>0.69066954408214165</v>
      </c>
      <c r="X19" s="81"/>
    </row>
    <row r="20" spans="1:31">
      <c r="A20" s="82" t="s">
        <v>545</v>
      </c>
      <c r="B20" s="83" t="s">
        <v>546</v>
      </c>
      <c r="C20" s="73">
        <v>1</v>
      </c>
      <c r="D20" s="77">
        <v>6.7824490202287553</v>
      </c>
      <c r="E20" s="78">
        <v>0.47545121182640182</v>
      </c>
      <c r="F20" s="73">
        <v>38254.751871877124</v>
      </c>
      <c r="G20" s="79">
        <v>12.611864097741748</v>
      </c>
      <c r="H20" s="74">
        <v>41534</v>
      </c>
      <c r="M20" s="12" t="s">
        <v>10</v>
      </c>
      <c r="N20" s="12" t="s">
        <v>14</v>
      </c>
      <c r="O20" s="12" t="s">
        <v>18</v>
      </c>
      <c r="P20" s="12" t="s">
        <v>542</v>
      </c>
      <c r="Q20" s="12" t="s">
        <v>18</v>
      </c>
      <c r="R20" s="12">
        <v>100</v>
      </c>
      <c r="S20" s="81">
        <f>E34</f>
        <v>0.35990149881871114</v>
      </c>
      <c r="T20" s="12">
        <f t="shared" si="0"/>
        <v>3.5990149881871113E-3</v>
      </c>
      <c r="U20" s="81">
        <f>((F34/1000)+1)*0.0036765</f>
        <v>9.9558929451631084E-2</v>
      </c>
      <c r="V20" s="81">
        <f t="shared" si="1"/>
        <v>3.4494013960818023E-4</v>
      </c>
      <c r="W20" s="81">
        <f t="shared" si="2"/>
        <v>0.34494013960818021</v>
      </c>
      <c r="X20" s="81"/>
    </row>
    <row r="21" spans="1:31">
      <c r="A21" s="82" t="s">
        <v>547</v>
      </c>
      <c r="B21" s="12" t="s">
        <v>548</v>
      </c>
      <c r="C21" s="73">
        <v>1</v>
      </c>
      <c r="D21" s="77">
        <v>4.3318592669518869</v>
      </c>
      <c r="E21" s="78">
        <v>0.18629607869638784</v>
      </c>
      <c r="F21" s="73">
        <v>39375.905346271691</v>
      </c>
      <c r="G21" s="79">
        <v>12.925512471397441</v>
      </c>
      <c r="H21" s="74">
        <v>41534</v>
      </c>
      <c r="M21" s="12" t="s">
        <v>10</v>
      </c>
      <c r="N21" s="12" t="s">
        <v>11</v>
      </c>
      <c r="O21" s="12" t="s">
        <v>12</v>
      </c>
      <c r="P21" s="12" t="s">
        <v>542</v>
      </c>
      <c r="Q21" s="12" t="s">
        <v>549</v>
      </c>
      <c r="R21" s="12">
        <v>100</v>
      </c>
      <c r="S21" s="81">
        <f>E36</f>
        <v>0.92190620378235189</v>
      </c>
      <c r="T21" s="12">
        <f t="shared" si="0"/>
        <v>9.2190620378235187E-3</v>
      </c>
      <c r="U21" s="81">
        <f>((F36/1000)+1)*0.0036765</f>
        <v>6.871502754874706E-2</v>
      </c>
      <c r="V21" s="81">
        <f t="shared" si="1"/>
        <v>5.9923006737009916E-4</v>
      </c>
      <c r="W21" s="81">
        <f t="shared" si="2"/>
        <v>0.59923006737009921</v>
      </c>
      <c r="X21" s="81"/>
      <c r="Z21" s="12" t="s">
        <v>11</v>
      </c>
      <c r="AA21" s="12" t="s">
        <v>550</v>
      </c>
      <c r="AB21" s="12" t="s">
        <v>551</v>
      </c>
      <c r="AC21" s="12" t="s">
        <v>552</v>
      </c>
      <c r="AD21" s="12" t="s">
        <v>553</v>
      </c>
      <c r="AE21" s="12" t="s">
        <v>554</v>
      </c>
    </row>
    <row r="22" spans="1:31">
      <c r="A22" s="75" t="s">
        <v>555</v>
      </c>
      <c r="B22" s="75" t="s">
        <v>556</v>
      </c>
      <c r="C22" s="76">
        <v>1</v>
      </c>
      <c r="D22" s="77">
        <v>11.08524749044973</v>
      </c>
      <c r="E22" s="78">
        <v>0.98315604607076457</v>
      </c>
      <c r="F22" s="73">
        <v>3818.5347597159607</v>
      </c>
      <c r="G22" s="79">
        <v>1.7406972553943465</v>
      </c>
      <c r="H22" s="74">
        <v>41534</v>
      </c>
      <c r="M22" s="12" t="s">
        <v>10</v>
      </c>
      <c r="N22" s="12" t="s">
        <v>11</v>
      </c>
      <c r="O22" s="12" t="s">
        <v>17</v>
      </c>
      <c r="P22" s="12" t="s">
        <v>542</v>
      </c>
      <c r="Q22" s="12" t="s">
        <v>557</v>
      </c>
      <c r="R22" s="12">
        <v>100</v>
      </c>
      <c r="S22" s="81">
        <f>E38</f>
        <v>0.88152014176793847</v>
      </c>
      <c r="T22" s="12">
        <f t="shared" si="0"/>
        <v>8.8152014176793841E-3</v>
      </c>
      <c r="U22" s="81">
        <f>((F38/1000)+1)*0.0036765</f>
        <v>7.3450996112567071E-2</v>
      </c>
      <c r="V22" s="81">
        <f t="shared" si="1"/>
        <v>6.1472803659336759E-4</v>
      </c>
      <c r="W22" s="81">
        <f t="shared" si="2"/>
        <v>0.61472803659336761</v>
      </c>
      <c r="X22" s="81"/>
      <c r="Y22" s="12" t="s">
        <v>10</v>
      </c>
      <c r="Z22" s="12" t="s">
        <v>468</v>
      </c>
      <c r="AA22" s="12">
        <v>4.4508856682769729</v>
      </c>
      <c r="AB22" s="81">
        <f>W24</f>
        <v>0.13763538754821419</v>
      </c>
      <c r="AC22" s="12">
        <f t="shared" ref="AC22:AC27" si="3">AB22*AA22</f>
        <v>0.61259937388609353</v>
      </c>
      <c r="AD22" s="81">
        <f>W21</f>
        <v>0.59923006737009921</v>
      </c>
      <c r="AE22" s="12">
        <f>AC22/AD22</f>
        <v>1.022310807224126</v>
      </c>
    </row>
    <row r="23" spans="1:31">
      <c r="A23" s="75" t="s">
        <v>558</v>
      </c>
      <c r="B23" s="75" t="s">
        <v>506</v>
      </c>
      <c r="C23" s="76">
        <v>0.21</v>
      </c>
      <c r="D23" s="77">
        <v>29.032896176578635</v>
      </c>
      <c r="E23" s="78">
        <v>3.1008727052010192</v>
      </c>
      <c r="F23" s="73">
        <v>12.8538827599758</v>
      </c>
      <c r="G23" s="79">
        <v>0.37099423749658145</v>
      </c>
      <c r="H23" s="74">
        <v>41534</v>
      </c>
      <c r="M23" s="12" t="s">
        <v>10</v>
      </c>
      <c r="N23" s="12" t="s">
        <v>11</v>
      </c>
      <c r="O23" s="12" t="s">
        <v>18</v>
      </c>
      <c r="P23" s="12" t="s">
        <v>542</v>
      </c>
      <c r="Q23" s="12" t="s">
        <v>559</v>
      </c>
      <c r="R23" s="12">
        <v>100</v>
      </c>
      <c r="S23" s="81">
        <f>E25</f>
        <v>0.84044326415111559</v>
      </c>
      <c r="T23" s="12">
        <f t="shared" si="0"/>
        <v>8.4044326415111566E-3</v>
      </c>
      <c r="U23" s="81">
        <f>((F25/1000)+1)*0.0036765</f>
        <v>7.2020910274668615E-2</v>
      </c>
      <c r="V23" s="81">
        <f t="shared" si="1"/>
        <v>5.7406401748791574E-4</v>
      </c>
      <c r="W23" s="81">
        <f t="shared" si="2"/>
        <v>0.57406401748791569</v>
      </c>
      <c r="X23" s="81"/>
      <c r="Z23" s="12" t="s">
        <v>469</v>
      </c>
      <c r="AA23" s="12">
        <v>3.9625167336010705</v>
      </c>
      <c r="AB23" s="81">
        <f>W25</f>
        <v>0.16391637300751874</v>
      </c>
      <c r="AC23" s="12">
        <f t="shared" si="3"/>
        <v>0.64952137095348783</v>
      </c>
      <c r="AD23" s="81">
        <f>W22</f>
        <v>0.61472803659336761</v>
      </c>
      <c r="AE23" s="12">
        <f>AC23/AD23</f>
        <v>1.056599556696542</v>
      </c>
    </row>
    <row r="24" spans="1:31">
      <c r="A24" s="75" t="s">
        <v>560</v>
      </c>
      <c r="B24" s="75" t="s">
        <v>561</v>
      </c>
      <c r="C24" s="76">
        <v>1</v>
      </c>
      <c r="D24" s="77">
        <v>11.887034475784327</v>
      </c>
      <c r="E24" s="78">
        <v>1.0777621800335491</v>
      </c>
      <c r="F24" s="73">
        <v>4569.3428034454455</v>
      </c>
      <c r="G24" s="79">
        <v>2.0064847248449946</v>
      </c>
      <c r="H24" s="74">
        <v>41534</v>
      </c>
      <c r="M24" s="12" t="s">
        <v>10</v>
      </c>
      <c r="N24" s="12" t="s">
        <v>11</v>
      </c>
      <c r="O24" s="12" t="s">
        <v>12</v>
      </c>
      <c r="P24" s="12" t="s">
        <v>562</v>
      </c>
      <c r="Q24" s="12" t="s">
        <v>563</v>
      </c>
      <c r="R24" s="12">
        <v>100</v>
      </c>
      <c r="S24" s="81">
        <f>E22</f>
        <v>0.98315604607076457</v>
      </c>
      <c r="T24" s="12">
        <f t="shared" si="0"/>
        <v>9.8315604607076452E-3</v>
      </c>
      <c r="U24" s="81">
        <f>((F22/1000)+1)*0.0036765</f>
        <v>1.7715343044095732E-2</v>
      </c>
      <c r="V24" s="81">
        <f t="shared" si="1"/>
        <v>1.3763538754821419E-4</v>
      </c>
      <c r="W24" s="81">
        <f t="shared" si="2"/>
        <v>0.13763538754821419</v>
      </c>
      <c r="X24" s="81"/>
      <c r="Z24" s="12" t="s">
        <v>470</v>
      </c>
      <c r="AA24" s="12">
        <v>4.0276625172890732</v>
      </c>
      <c r="AB24" s="81">
        <f>W26</f>
        <v>0.18062958755950664</v>
      </c>
      <c r="AC24" s="12">
        <f t="shared" si="3"/>
        <v>0.72751501932680962</v>
      </c>
      <c r="AD24" s="81">
        <f>W23</f>
        <v>0.57406401748791569</v>
      </c>
      <c r="AE24" s="12">
        <f>AC24/AD24</f>
        <v>1.267306427792479</v>
      </c>
    </row>
    <row r="25" spans="1:31">
      <c r="A25" s="75" t="s">
        <v>564</v>
      </c>
      <c r="B25" s="75" t="s">
        <v>565</v>
      </c>
      <c r="C25" s="76">
        <v>1</v>
      </c>
      <c r="D25" s="77">
        <v>9.8757566636807042</v>
      </c>
      <c r="E25" s="78">
        <v>0.84044326415111559</v>
      </c>
      <c r="F25" s="73">
        <v>18589.530878462836</v>
      </c>
      <c r="G25" s="79">
        <v>6.7182374508176075</v>
      </c>
      <c r="H25" s="74">
        <v>41534</v>
      </c>
      <c r="M25" s="12" t="s">
        <v>10</v>
      </c>
      <c r="N25" s="12" t="s">
        <v>11</v>
      </c>
      <c r="O25" s="12" t="s">
        <v>17</v>
      </c>
      <c r="P25" s="12" t="s">
        <v>562</v>
      </c>
      <c r="Q25" s="12" t="s">
        <v>566</v>
      </c>
      <c r="R25" s="12">
        <v>100</v>
      </c>
      <c r="S25" s="81">
        <f>E37</f>
        <v>1.016015577341902</v>
      </c>
      <c r="T25" s="12">
        <f t="shared" si="0"/>
        <v>1.016015577341902E-2</v>
      </c>
      <c r="U25" s="81">
        <f>((F37/1000)+1)*0.0036765</f>
        <v>1.9849253924743598E-2</v>
      </c>
      <c r="V25" s="81">
        <f t="shared" si="1"/>
        <v>1.6391637300751873E-4</v>
      </c>
      <c r="W25" s="81">
        <f t="shared" si="2"/>
        <v>0.16391637300751874</v>
      </c>
      <c r="X25" s="81"/>
      <c r="Y25" s="12" t="s">
        <v>16</v>
      </c>
      <c r="Z25" s="12" t="s">
        <v>468</v>
      </c>
      <c r="AA25" s="12">
        <v>3.2235294117647055</v>
      </c>
      <c r="AB25" s="81">
        <f>W33</f>
        <v>0.18054594775176824</v>
      </c>
      <c r="AC25" s="12">
        <f t="shared" si="3"/>
        <v>0.58199517275275869</v>
      </c>
      <c r="AD25" s="81">
        <f>W30</f>
        <v>0.43301487060984079</v>
      </c>
      <c r="AE25" s="12">
        <f>AC25/AD25</f>
        <v>1.3440535470135242</v>
      </c>
    </row>
    <row r="26" spans="1:31">
      <c r="A26" s="75" t="s">
        <v>567</v>
      </c>
      <c r="B26" s="75" t="s">
        <v>568</v>
      </c>
      <c r="C26" s="76">
        <v>1</v>
      </c>
      <c r="D26" s="77">
        <v>11.6387801913099</v>
      </c>
      <c r="E26" s="78">
        <v>1.0484696390926136</v>
      </c>
      <c r="F26" s="73">
        <v>4694.5328472353121</v>
      </c>
      <c r="G26" s="79">
        <v>2.0506624350525513</v>
      </c>
      <c r="H26" s="74">
        <v>41534</v>
      </c>
      <c r="M26" s="12" t="s">
        <v>10</v>
      </c>
      <c r="N26" s="12" t="s">
        <v>11</v>
      </c>
      <c r="O26" s="12" t="s">
        <v>18</v>
      </c>
      <c r="P26" s="12" t="s">
        <v>562</v>
      </c>
      <c r="Q26" s="12" t="s">
        <v>569</v>
      </c>
      <c r="R26" s="12">
        <v>100</v>
      </c>
      <c r="S26" s="81">
        <f>E24</f>
        <v>1.0777621800335491</v>
      </c>
      <c r="T26" s="12">
        <f t="shared" si="0"/>
        <v>1.077762180033549E-2</v>
      </c>
      <c r="U26" s="81">
        <f>((F24/1000)+1)*0.0036765</f>
        <v>2.047568881686718E-2</v>
      </c>
      <c r="V26" s="81">
        <f t="shared" si="1"/>
        <v>1.8062958755950663E-4</v>
      </c>
      <c r="W26" s="81">
        <f t="shared" si="2"/>
        <v>0.18062958755950664</v>
      </c>
      <c r="X26" s="81"/>
      <c r="Z26" s="12" t="s">
        <v>469</v>
      </c>
      <c r="AA26" s="12">
        <v>3.5633255633255634</v>
      </c>
      <c r="AB26" s="81">
        <f>W34</f>
        <v>0.19661966904686703</v>
      </c>
      <c r="AC26" s="12">
        <f t="shared" si="3"/>
        <v>0.70061989296731331</v>
      </c>
      <c r="AD26" s="81">
        <f>W31</f>
        <v>0.57200492035892136</v>
      </c>
      <c r="AE26" s="12">
        <f>AC26/AD26</f>
        <v>1.2248494165534252</v>
      </c>
    </row>
    <row r="27" spans="1:31">
      <c r="A27" s="75" t="s">
        <v>570</v>
      </c>
      <c r="B27" s="75" t="s">
        <v>571</v>
      </c>
      <c r="C27" s="76">
        <v>1</v>
      </c>
      <c r="D27" s="77">
        <v>8.0804775592279405</v>
      </c>
      <c r="E27" s="78">
        <v>0.62861092144282482</v>
      </c>
      <c r="F27" s="73">
        <v>18747.151213928646</v>
      </c>
      <c r="G27" s="79">
        <v>6.7686345577229989</v>
      </c>
      <c r="H27" s="74">
        <v>41534</v>
      </c>
      <c r="M27" s="12" t="s">
        <v>16</v>
      </c>
      <c r="N27" s="12" t="s">
        <v>14</v>
      </c>
      <c r="O27" s="12" t="s">
        <v>12</v>
      </c>
      <c r="P27" s="12" t="s">
        <v>542</v>
      </c>
      <c r="Q27" s="12" t="s">
        <v>572</v>
      </c>
      <c r="R27" s="12">
        <v>100</v>
      </c>
      <c r="S27" s="81">
        <f>E20</f>
        <v>0.47545121182640182</v>
      </c>
      <c r="T27" s="12">
        <f t="shared" si="0"/>
        <v>4.7545121182640182E-3</v>
      </c>
      <c r="U27" s="81">
        <f>((F20/1000)+1)*0.0036765</f>
        <v>0.14432009525695624</v>
      </c>
      <c r="V27" s="81">
        <f t="shared" si="1"/>
        <v>6.6850387477674679E-4</v>
      </c>
      <c r="W27" s="81">
        <f t="shared" si="2"/>
        <v>0.66850387477674678</v>
      </c>
      <c r="X27" s="81"/>
      <c r="Z27" s="12" t="s">
        <v>470</v>
      </c>
      <c r="AA27" s="12">
        <v>3.1146560319042869</v>
      </c>
      <c r="AB27" s="81">
        <f>W35</f>
        <v>0.21173844728979063</v>
      </c>
      <c r="AC27" s="12">
        <f t="shared" si="3"/>
        <v>0.65949243203719432</v>
      </c>
      <c r="AD27" s="81"/>
    </row>
    <row r="28" spans="1:31">
      <c r="A28" s="75" t="s">
        <v>573</v>
      </c>
      <c r="B28" s="75" t="s">
        <v>574</v>
      </c>
      <c r="C28" s="76">
        <v>1</v>
      </c>
      <c r="D28" s="77">
        <v>11.326310522819874</v>
      </c>
      <c r="E28" s="78">
        <v>1.0116000616896608</v>
      </c>
      <c r="F28" s="73">
        <v>5703.9421555999897</v>
      </c>
      <c r="G28" s="79">
        <v>2.4054178944235423</v>
      </c>
      <c r="H28" s="74">
        <v>41534</v>
      </c>
      <c r="M28" s="12" t="s">
        <v>16</v>
      </c>
      <c r="N28" s="12" t="s">
        <v>14</v>
      </c>
      <c r="O28" s="12" t="s">
        <v>17</v>
      </c>
      <c r="P28" s="12" t="s">
        <v>542</v>
      </c>
      <c r="Q28" s="12" t="s">
        <v>575</v>
      </c>
      <c r="R28" s="12">
        <v>100</v>
      </c>
      <c r="S28" s="81">
        <f>E21</f>
        <v>0.18629607869638784</v>
      </c>
      <c r="T28" s="12">
        <f t="shared" si="0"/>
        <v>1.8629607869638785E-3</v>
      </c>
      <c r="U28" s="81">
        <f>((F21/1000)+1)*0.0036765</f>
        <v>0.14844201600556789</v>
      </c>
      <c r="V28" s="81">
        <f t="shared" si="1"/>
        <v>2.6961889267187962E-4</v>
      </c>
      <c r="W28" s="81">
        <f t="shared" si="2"/>
        <v>0.26961889267187961</v>
      </c>
      <c r="X28" s="81"/>
    </row>
    <row r="29" spans="1:31">
      <c r="A29" s="75" t="s">
        <v>576</v>
      </c>
      <c r="B29" s="75" t="s">
        <v>577</v>
      </c>
      <c r="C29" s="76">
        <v>1</v>
      </c>
      <c r="D29" s="77">
        <v>0</v>
      </c>
      <c r="E29" s="78"/>
      <c r="F29" s="73">
        <v>0</v>
      </c>
      <c r="G29" s="79"/>
      <c r="H29" s="74">
        <v>41534</v>
      </c>
      <c r="I29" s="12" t="s">
        <v>578</v>
      </c>
      <c r="M29" s="12" t="s">
        <v>16</v>
      </c>
      <c r="N29" s="12" t="s">
        <v>14</v>
      </c>
      <c r="O29" s="12" t="s">
        <v>18</v>
      </c>
      <c r="P29" s="12" t="s">
        <v>542</v>
      </c>
      <c r="Q29" s="12" t="s">
        <v>482</v>
      </c>
      <c r="R29" s="12">
        <v>100</v>
      </c>
      <c r="S29" s="81">
        <f>E35</f>
        <v>0.17349370709954895</v>
      </c>
      <c r="T29" s="12">
        <f t="shared" si="0"/>
        <v>1.7349370709954894E-3</v>
      </c>
      <c r="U29" s="81">
        <f>((F35/1000)+1)*0.0036765</f>
        <v>0.15704823518977168</v>
      </c>
      <c r="V29" s="81">
        <f t="shared" si="1"/>
        <v>2.66021779009334E-4</v>
      </c>
      <c r="W29" s="81">
        <f t="shared" si="2"/>
        <v>0.26602177900933399</v>
      </c>
      <c r="X29" s="81"/>
      <c r="Z29" s="12" t="s">
        <v>579</v>
      </c>
    </row>
    <row r="30" spans="1:31">
      <c r="A30" s="75" t="s">
        <v>580</v>
      </c>
      <c r="B30" s="75" t="s">
        <v>506</v>
      </c>
      <c r="C30" s="76">
        <v>0.21600000000000003</v>
      </c>
      <c r="D30" s="77">
        <v>29.711668932305361</v>
      </c>
      <c r="E30" s="78">
        <v>3.180963885817742</v>
      </c>
      <c r="F30" s="73">
        <v>14.143117627206125</v>
      </c>
      <c r="G30" s="79">
        <v>0.37146471206721809</v>
      </c>
      <c r="H30" s="74">
        <v>41534</v>
      </c>
      <c r="I30" s="12" t="s">
        <v>581</v>
      </c>
      <c r="M30" s="12" t="s">
        <v>16</v>
      </c>
      <c r="N30" s="12" t="s">
        <v>11</v>
      </c>
      <c r="O30" s="12" t="s">
        <v>12</v>
      </c>
      <c r="P30" s="12" t="s">
        <v>542</v>
      </c>
      <c r="Q30" s="12" t="s">
        <v>582</v>
      </c>
      <c r="R30" s="12">
        <v>100</v>
      </c>
      <c r="S30" s="81">
        <f>E27</f>
        <v>0.62861092144282482</v>
      </c>
      <c r="T30" s="12">
        <f t="shared" si="0"/>
        <v>6.2861092144282484E-3</v>
      </c>
      <c r="U30" s="81">
        <f>((F27/1000)+1)*0.0036765</f>
        <v>7.2600401438008666E-2</v>
      </c>
      <c r="V30" s="81">
        <f t="shared" si="1"/>
        <v>4.330148706098408E-4</v>
      </c>
      <c r="W30" s="81">
        <f t="shared" si="2"/>
        <v>0.43301487060984079</v>
      </c>
      <c r="X30" s="81"/>
    </row>
    <row r="31" spans="1:31">
      <c r="A31" s="75" t="s">
        <v>583</v>
      </c>
      <c r="B31" s="75" t="s">
        <v>508</v>
      </c>
      <c r="C31" s="76">
        <v>0.17899999999999999</v>
      </c>
      <c r="D31" s="77">
        <v>20.585316727618679</v>
      </c>
      <c r="E31" s="78">
        <v>2.1041081684505816</v>
      </c>
      <c r="F31" s="73">
        <v>7.9736714713863179</v>
      </c>
      <c r="G31" s="79">
        <v>0.36921328411497162</v>
      </c>
      <c r="H31" s="74">
        <v>41534</v>
      </c>
      <c r="M31" s="12" t="s">
        <v>16</v>
      </c>
      <c r="N31" s="12" t="s">
        <v>11</v>
      </c>
      <c r="O31" s="12" t="s">
        <v>17</v>
      </c>
      <c r="P31" s="12" t="s">
        <v>542</v>
      </c>
      <c r="Q31" s="12" t="s">
        <v>584</v>
      </c>
      <c r="R31" s="12">
        <v>100</v>
      </c>
      <c r="S31" s="81">
        <f>E40</f>
        <v>0.79513726539249363</v>
      </c>
      <c r="T31" s="12">
        <f t="shared" si="0"/>
        <v>7.9513726539249367E-3</v>
      </c>
      <c r="U31" s="81">
        <f>((F40/1000)+1)*0.0036765</f>
        <v>7.5653883590020107E-2</v>
      </c>
      <c r="V31" s="81">
        <f t="shared" si="1"/>
        <v>5.7200492035892132E-4</v>
      </c>
      <c r="W31" s="81">
        <f t="shared" si="2"/>
        <v>0.57200492035892136</v>
      </c>
      <c r="X31" s="81"/>
      <c r="Z31" s="12" t="s">
        <v>612</v>
      </c>
    </row>
    <row r="32" spans="1:31">
      <c r="A32" s="75" t="s">
        <v>585</v>
      </c>
      <c r="B32" s="75" t="s">
        <v>586</v>
      </c>
      <c r="C32" s="76">
        <v>1</v>
      </c>
      <c r="D32" s="77">
        <v>0.91474988462621942</v>
      </c>
      <c r="E32" s="78">
        <v>-0.2169026684806821</v>
      </c>
      <c r="F32" s="73">
        <v>623.16272496607758</v>
      </c>
      <c r="G32" s="79">
        <v>0.59321572672141398</v>
      </c>
      <c r="H32" s="74">
        <v>41535</v>
      </c>
      <c r="I32" s="80" t="s">
        <v>541</v>
      </c>
      <c r="M32" s="12" t="s">
        <v>16</v>
      </c>
      <c r="N32" s="12" t="s">
        <v>11</v>
      </c>
      <c r="O32" s="12" t="s">
        <v>18</v>
      </c>
      <c r="P32" s="12" t="s">
        <v>542</v>
      </c>
      <c r="Q32" s="12" t="s">
        <v>531</v>
      </c>
      <c r="R32" s="12">
        <v>100</v>
      </c>
      <c r="V32" s="81"/>
      <c r="W32" s="81"/>
    </row>
    <row r="33" spans="1:38">
      <c r="A33" s="75" t="s">
        <v>587</v>
      </c>
      <c r="B33" s="75" t="s">
        <v>588</v>
      </c>
      <c r="C33" s="76">
        <v>1</v>
      </c>
      <c r="D33" s="77">
        <v>8.166128789788095</v>
      </c>
      <c r="E33" s="78">
        <v>0.63871726133192863</v>
      </c>
      <c r="F33" s="73">
        <v>29422.914913418357</v>
      </c>
      <c r="G33" s="79">
        <v>10.059797823712447</v>
      </c>
      <c r="H33" s="74">
        <v>41535</v>
      </c>
      <c r="M33" s="12" t="s">
        <v>16</v>
      </c>
      <c r="N33" s="12" t="s">
        <v>11</v>
      </c>
      <c r="O33" s="12" t="s">
        <v>12</v>
      </c>
      <c r="P33" s="12" t="s">
        <v>562</v>
      </c>
      <c r="Q33" s="12" t="s">
        <v>589</v>
      </c>
      <c r="R33" s="12">
        <v>100</v>
      </c>
      <c r="S33" s="81">
        <f>E26</f>
        <v>1.0484696390926136</v>
      </c>
      <c r="T33" s="12">
        <f t="shared" si="0"/>
        <v>1.0484696390926135E-2</v>
      </c>
      <c r="U33" s="81">
        <f>((F26/1000)+1)*0.0036765</f>
        <v>2.0935950012860624E-2</v>
      </c>
      <c r="V33" s="81">
        <f t="shared" si="1"/>
        <v>1.8054594775176823E-4</v>
      </c>
      <c r="W33" s="81">
        <f t="shared" si="2"/>
        <v>0.18054594775176824</v>
      </c>
      <c r="X33" s="81"/>
      <c r="AA33" s="12" t="s">
        <v>23</v>
      </c>
      <c r="AB33" s="12" t="s">
        <v>24</v>
      </c>
    </row>
    <row r="34" spans="1:38">
      <c r="A34" s="75" t="s">
        <v>590</v>
      </c>
      <c r="B34" s="75" t="s">
        <v>591</v>
      </c>
      <c r="C34" s="76">
        <v>1</v>
      </c>
      <c r="D34" s="77">
        <v>5.8031652024885769</v>
      </c>
      <c r="E34" s="78">
        <v>0.35990149881871114</v>
      </c>
      <c r="F34" s="73">
        <v>26079.812172346275</v>
      </c>
      <c r="G34" s="79">
        <v>9.0544423572898314</v>
      </c>
      <c r="H34" s="74">
        <v>41535</v>
      </c>
      <c r="M34" s="12" t="s">
        <v>16</v>
      </c>
      <c r="N34" s="12" t="s">
        <v>11</v>
      </c>
      <c r="O34" s="12" t="s">
        <v>17</v>
      </c>
      <c r="P34" s="12" t="s">
        <v>562</v>
      </c>
      <c r="Q34" s="12" t="s">
        <v>592</v>
      </c>
      <c r="R34" s="12">
        <v>100</v>
      </c>
      <c r="S34" s="81">
        <f>E39</f>
        <v>1.1487910362471305</v>
      </c>
      <c r="T34" s="12">
        <f t="shared" si="0"/>
        <v>1.1487910362471305E-2</v>
      </c>
      <c r="U34" s="81">
        <f>((F39/1000)+1)*0.0036765</f>
        <v>2.0831355433933746E-2</v>
      </c>
      <c r="V34" s="81">
        <f t="shared" si="1"/>
        <v>1.9661966904686704E-4</v>
      </c>
      <c r="W34" s="81">
        <f t="shared" si="2"/>
        <v>0.19661966904686703</v>
      </c>
      <c r="X34" s="81"/>
      <c r="Y34" s="12" t="s">
        <v>10</v>
      </c>
      <c r="Z34" s="12" t="s">
        <v>11</v>
      </c>
      <c r="AA34" s="81">
        <f>AVERAGE(W21:W23)</f>
        <v>0.59600737381712754</v>
      </c>
      <c r="AB34" s="12">
        <f>STDEV(W21:W23)/(SQRT(3))</f>
        <v>1.1848768258830588E-2</v>
      </c>
      <c r="AG34" s="1" t="s">
        <v>621</v>
      </c>
    </row>
    <row r="35" spans="1:38">
      <c r="A35" s="75" t="s">
        <v>593</v>
      </c>
      <c r="B35" s="75" t="s">
        <v>594</v>
      </c>
      <c r="C35" s="76">
        <v>1</v>
      </c>
      <c r="D35" s="77">
        <v>4.2233591676686775</v>
      </c>
      <c r="E35" s="78">
        <v>0.17349370709954895</v>
      </c>
      <c r="F35" s="73">
        <v>41716.778237391998</v>
      </c>
      <c r="G35" s="79">
        <v>13.573179614591748</v>
      </c>
      <c r="H35" s="74">
        <v>41535</v>
      </c>
      <c r="M35" s="12" t="s">
        <v>16</v>
      </c>
      <c r="N35" s="12" t="s">
        <v>11</v>
      </c>
      <c r="O35" s="12" t="s">
        <v>18</v>
      </c>
      <c r="P35" s="12" t="s">
        <v>562</v>
      </c>
      <c r="Q35" s="12" t="s">
        <v>595</v>
      </c>
      <c r="R35" s="12">
        <v>100</v>
      </c>
      <c r="S35" s="81">
        <f>E28</f>
        <v>1.0116000616896608</v>
      </c>
      <c r="T35" s="12">
        <f t="shared" si="0"/>
        <v>1.0116000616896608E-2</v>
      </c>
      <c r="U35" s="81">
        <f>((F28/1000)+1)*0.0036765</f>
        <v>2.4647043335063363E-2</v>
      </c>
      <c r="V35" s="81">
        <f t="shared" si="1"/>
        <v>2.1173844728979063E-4</v>
      </c>
      <c r="W35" s="81">
        <f t="shared" si="2"/>
        <v>0.21173844728979063</v>
      </c>
      <c r="X35" s="81"/>
      <c r="Z35" s="12" t="s">
        <v>14</v>
      </c>
      <c r="AA35" s="81">
        <f>AVERAGE(W18:W20)</f>
        <v>0.55070448420782492</v>
      </c>
      <c r="AB35" s="12">
        <f>STDEV(W18:W20)/(SQRT(3))</f>
        <v>0.10508625771598896</v>
      </c>
      <c r="AH35" s="12" t="s">
        <v>616</v>
      </c>
      <c r="AI35" s="12" t="s">
        <v>617</v>
      </c>
      <c r="AJ35" s="12" t="s">
        <v>618</v>
      </c>
    </row>
    <row r="36" spans="1:38">
      <c r="A36" s="75" t="s">
        <v>596</v>
      </c>
      <c r="B36" s="75" t="s">
        <v>597</v>
      </c>
      <c r="C36" s="76">
        <v>1</v>
      </c>
      <c r="D36" s="77">
        <v>10.566155077055432</v>
      </c>
      <c r="E36" s="78">
        <v>0.92190620378235189</v>
      </c>
      <c r="F36" s="73">
        <v>17690.337970555436</v>
      </c>
      <c r="G36" s="79">
        <v>6.4296866589735284</v>
      </c>
      <c r="H36" s="74">
        <v>41535</v>
      </c>
      <c r="P36" s="12" t="s">
        <v>598</v>
      </c>
      <c r="Q36" s="12" t="s">
        <v>599</v>
      </c>
      <c r="S36" s="81">
        <f>E18</f>
        <v>-0.27428008210542382</v>
      </c>
      <c r="U36" s="81">
        <f>((F18/1000)+1)*0.0036765</f>
        <v>3.9235562946828362E-3</v>
      </c>
      <c r="V36" s="81">
        <f t="shared" si="1"/>
        <v>0</v>
      </c>
      <c r="W36" s="81">
        <f t="shared" si="2"/>
        <v>0</v>
      </c>
      <c r="X36" s="81"/>
      <c r="Y36" s="12" t="s">
        <v>16</v>
      </c>
      <c r="Z36" s="12" t="s">
        <v>11</v>
      </c>
      <c r="AA36" s="81">
        <f>AVERAGE(W30:W31)</f>
        <v>0.50250989548438108</v>
      </c>
      <c r="AB36" s="12">
        <f>STDEV(W30:W31)/(SQRT(3))</f>
        <v>5.6742450201549124E-2</v>
      </c>
      <c r="AG36" s="12" t="s">
        <v>266</v>
      </c>
      <c r="AH36" s="12">
        <v>1.6684845330633085</v>
      </c>
      <c r="AI36" s="12">
        <v>1.7608781768111659</v>
      </c>
      <c r="AJ36" s="12">
        <v>4.1571736135158828</v>
      </c>
      <c r="AK36" s="12" t="s">
        <v>619</v>
      </c>
    </row>
    <row r="37" spans="1:38">
      <c r="A37" s="75" t="s">
        <v>600</v>
      </c>
      <c r="B37" s="75" t="s">
        <v>601</v>
      </c>
      <c r="C37" s="76">
        <v>1</v>
      </c>
      <c r="D37" s="77">
        <v>11.36373201797262</v>
      </c>
      <c r="E37" s="78">
        <v>1.016015577341902</v>
      </c>
      <c r="F37" s="73">
        <v>4398.9538758992512</v>
      </c>
      <c r="G37" s="79">
        <v>1.9462929298969027</v>
      </c>
      <c r="H37" s="74">
        <v>41535</v>
      </c>
      <c r="P37" s="12" t="s">
        <v>598</v>
      </c>
      <c r="Q37" s="12" t="s">
        <v>602</v>
      </c>
      <c r="S37" s="81">
        <f>E32</f>
        <v>-0.2169026684806821</v>
      </c>
      <c r="U37" s="81">
        <f>((F32/1000)+1)*0.0036765</f>
        <v>5.9675577583377841E-3</v>
      </c>
      <c r="V37" s="81">
        <f t="shared" si="1"/>
        <v>0</v>
      </c>
      <c r="W37" s="81">
        <f t="shared" si="2"/>
        <v>0</v>
      </c>
      <c r="X37" s="81"/>
      <c r="Z37" s="12" t="s">
        <v>14</v>
      </c>
      <c r="AA37" s="81">
        <f>AVERAGE(W27:W29)</f>
        <v>0.40138151548598677</v>
      </c>
      <c r="AB37" s="12">
        <f>STDEV(W27:W29)/(SQRT(3))</f>
        <v>0.13356521619477596</v>
      </c>
      <c r="AG37" s="12" t="s">
        <v>620</v>
      </c>
      <c r="AJ37" s="12">
        <v>0.36063317502788728</v>
      </c>
    </row>
    <row r="38" spans="1:38">
      <c r="A38" s="75" t="s">
        <v>603</v>
      </c>
      <c r="B38" s="75" t="s">
        <v>604</v>
      </c>
      <c r="C38" s="76">
        <v>1</v>
      </c>
      <c r="D38" s="77">
        <v>10.223883201483279</v>
      </c>
      <c r="E38" s="78">
        <v>0.88152014176793847</v>
      </c>
      <c r="F38" s="73">
        <v>18978.511114529327</v>
      </c>
      <c r="G38" s="79">
        <v>6.8425104060236626</v>
      </c>
      <c r="H38" s="74">
        <v>41535</v>
      </c>
    </row>
    <row r="39" spans="1:38">
      <c r="A39" s="75" t="s">
        <v>605</v>
      </c>
      <c r="B39" s="75" t="s">
        <v>606</v>
      </c>
      <c r="C39" s="76">
        <v>1</v>
      </c>
      <c r="D39" s="77">
        <v>12.489004032194432</v>
      </c>
      <c r="E39" s="78">
        <v>1.1487910362471305</v>
      </c>
      <c r="F39" s="73">
        <v>4666.0833493631844</v>
      </c>
      <c r="G39" s="79">
        <v>2.0406265269035337</v>
      </c>
      <c r="H39" s="74">
        <v>41535</v>
      </c>
    </row>
    <row r="40" spans="1:38">
      <c r="A40" s="75" t="s">
        <v>607</v>
      </c>
      <c r="B40" s="70" t="s">
        <v>608</v>
      </c>
      <c r="C40" s="76">
        <v>1</v>
      </c>
      <c r="D40" s="77">
        <v>9.4917883242013836</v>
      </c>
      <c r="E40" s="78">
        <v>0.79513726539249363</v>
      </c>
      <c r="F40" s="73">
        <v>19577.691714951747</v>
      </c>
      <c r="G40" s="79">
        <v>7.0332924692767804</v>
      </c>
      <c r="H40" s="74">
        <v>41535</v>
      </c>
      <c r="AH40" s="12" t="s">
        <v>622</v>
      </c>
      <c r="AI40" s="12" t="s">
        <v>623</v>
      </c>
      <c r="AJ40" s="12" t="s">
        <v>624</v>
      </c>
      <c r="AK40" s="12" t="s">
        <v>10</v>
      </c>
      <c r="AL40" s="12" t="s">
        <v>16</v>
      </c>
    </row>
    <row r="41" spans="1:38">
      <c r="AG41" s="12" t="s">
        <v>23</v>
      </c>
      <c r="AH41" s="12">
        <f>AH36</f>
        <v>1.6684845330633085</v>
      </c>
      <c r="AI41" s="12">
        <f t="shared" ref="AI41" si="4">AI36</f>
        <v>1.7608781768111659</v>
      </c>
      <c r="AJ41" s="12">
        <f>AJ36</f>
        <v>4.1571736135158828</v>
      </c>
      <c r="AK41" s="81">
        <f>AA34</f>
        <v>0.59600737381712754</v>
      </c>
      <c r="AL41" s="81">
        <f>AA36</f>
        <v>0.50250989548438108</v>
      </c>
    </row>
    <row r="42" spans="1:38">
      <c r="R42" s="12" t="s">
        <v>611</v>
      </c>
      <c r="AG42" s="12" t="s">
        <v>625</v>
      </c>
      <c r="AJ42" s="12">
        <f>AJ37</f>
        <v>0.36063317502788728</v>
      </c>
      <c r="AK42" s="12">
        <f>AB34</f>
        <v>1.1848768258830588E-2</v>
      </c>
      <c r="AL42" s="12">
        <f>AB36</f>
        <v>5.6742450201549124E-2</v>
      </c>
    </row>
    <row r="43" spans="1:38">
      <c r="T43" s="12" t="s">
        <v>610</v>
      </c>
    </row>
    <row r="44" spans="1:38">
      <c r="R44" s="12" t="s">
        <v>10</v>
      </c>
      <c r="S44" s="12" t="s">
        <v>248</v>
      </c>
      <c r="T44" s="12">
        <f>PP!P58*10000*1000</f>
        <v>36755319.148936167</v>
      </c>
    </row>
    <row r="45" spans="1:38">
      <c r="S45" s="12" t="s">
        <v>249</v>
      </c>
      <c r="T45" s="12">
        <f>PP!P59*10000*1000</f>
        <v>39361702.127659567</v>
      </c>
    </row>
    <row r="46" spans="1:38">
      <c r="S46" s="12" t="s">
        <v>250</v>
      </c>
      <c r="T46" s="12">
        <f>PP!P60*10000*1000</f>
        <v>38723404.255319148</v>
      </c>
    </row>
    <row r="47" spans="1:38">
      <c r="R47" s="12" t="s">
        <v>16</v>
      </c>
      <c r="S47" s="12" t="s">
        <v>257</v>
      </c>
      <c r="T47" s="12">
        <f>PP!P61*10000*1000</f>
        <v>14574468.085106382</v>
      </c>
    </row>
    <row r="48" spans="1:38">
      <c r="S48" s="12" t="s">
        <v>258</v>
      </c>
      <c r="T48" s="12">
        <f>PP!P62*10000*1000</f>
        <v>30492021.276595742</v>
      </c>
    </row>
    <row r="49" spans="18:38">
      <c r="S49" s="12" t="s">
        <v>259</v>
      </c>
      <c r="T49" s="12">
        <f>PP!P63*10000*1000</f>
        <v>41542553.191489361</v>
      </c>
    </row>
    <row r="51" spans="18:38">
      <c r="S51" s="12" t="s">
        <v>450</v>
      </c>
      <c r="T51" s="12" t="s">
        <v>24</v>
      </c>
      <c r="U51" s="12" t="s">
        <v>454</v>
      </c>
      <c r="V51" s="12" t="s">
        <v>24</v>
      </c>
    </row>
    <row r="52" spans="18:38">
      <c r="R52" s="12" t="s">
        <v>10</v>
      </c>
      <c r="S52" s="12">
        <f>AVERAGE(T44:T46)</f>
        <v>38280141.843971632</v>
      </c>
      <c r="T52" s="12">
        <f>STDEV(T44:T46)</f>
        <v>1358554.0960631561</v>
      </c>
      <c r="U52" s="81">
        <f>AA34</f>
        <v>0.59600737381712754</v>
      </c>
      <c r="V52" s="12">
        <f>AB34</f>
        <v>1.1848768258830588E-2</v>
      </c>
    </row>
    <row r="53" spans="18:38">
      <c r="R53" s="12" t="s">
        <v>16</v>
      </c>
      <c r="S53" s="12">
        <f>AVERAGE(T47:T49)</f>
        <v>28869680.851063829</v>
      </c>
      <c r="T53" s="12">
        <f>STDEV(T47:T49)</f>
        <v>13557042.26291691</v>
      </c>
      <c r="U53" s="81">
        <f>AA36</f>
        <v>0.50250989548438108</v>
      </c>
      <c r="V53" s="12">
        <f>AB36</f>
        <v>5.6742450201549124E-2</v>
      </c>
    </row>
    <row r="56" spans="18:38">
      <c r="S56" s="12" t="s">
        <v>613</v>
      </c>
    </row>
    <row r="57" spans="18:38">
      <c r="S57" s="12">
        <f>((U52*0.000001)/S52)*1000000000000000</f>
        <v>15.569622919539597</v>
      </c>
      <c r="T57" s="12">
        <f>((V52*0.000001)/T52)*1000000000000000</f>
        <v>8.7216021012090525</v>
      </c>
      <c r="X57" s="12" t="s">
        <v>609</v>
      </c>
    </row>
    <row r="58" spans="18:38">
      <c r="S58" s="12">
        <f>((U53*0.000001)/S53)*1000000000000000</f>
        <v>17.406146540960599</v>
      </c>
      <c r="T58" s="12">
        <f>((V53*0.000001)/T53)*1000000000000000</f>
        <v>4.1854594166722405</v>
      </c>
    </row>
    <row r="59" spans="18:38">
      <c r="S59" s="12" t="s">
        <v>614</v>
      </c>
    </row>
    <row r="60" spans="18:38">
      <c r="AH60" s="12">
        <f>2</f>
        <v>2</v>
      </c>
      <c r="AK60" s="12">
        <f>1000/700</f>
        <v>1.4285714285714286</v>
      </c>
    </row>
    <row r="61" spans="18:38">
      <c r="AH61" s="12" t="str">
        <f>AH40</f>
        <v>SI</v>
      </c>
      <c r="AI61" s="12" t="str">
        <f t="shared" ref="AI61:AL61" si="5">AI40</f>
        <v>FRP</v>
      </c>
      <c r="AJ61" s="12" t="str">
        <f t="shared" si="5"/>
        <v>GH</v>
      </c>
      <c r="AK61" s="12" t="str">
        <f t="shared" si="5"/>
        <v>SB</v>
      </c>
      <c r="AL61" s="12" t="str">
        <f t="shared" si="5"/>
        <v>JP</v>
      </c>
    </row>
    <row r="62" spans="18:38">
      <c r="AH62" s="12">
        <f>AH41/$AH$60</f>
        <v>0.83424226653165423</v>
      </c>
      <c r="AI62" s="12">
        <f t="shared" ref="AI62:AJ62" si="6">AI41/$AH$60</f>
        <v>0.88043908840558294</v>
      </c>
      <c r="AJ62" s="12">
        <f t="shared" si="6"/>
        <v>2.0785868067579414</v>
      </c>
      <c r="AK62" s="12">
        <f>AK41/$AK$60</f>
        <v>0.41720516167198929</v>
      </c>
      <c r="AL62" s="12">
        <f>AL41/$AK$60</f>
        <v>0.35175692683906673</v>
      </c>
    </row>
    <row r="63" spans="18:38">
      <c r="AK63" s="12">
        <f>AK42/$AK$60</f>
        <v>8.2941377811814113E-3</v>
      </c>
      <c r="AL63" s="12">
        <f>AL42/$AK$60</f>
        <v>3.9719715141084383E-2</v>
      </c>
    </row>
  </sheetData>
  <mergeCells count="3">
    <mergeCell ref="Q13:Q14"/>
    <mergeCell ref="R13:R14"/>
    <mergeCell ref="S13:S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Info</vt:lpstr>
      <vt:lpstr>NH4</vt:lpstr>
      <vt:lpstr>Chla</vt:lpstr>
      <vt:lpstr>Bac</vt:lpstr>
      <vt:lpstr>PP</vt:lpstr>
      <vt:lpstr>Virus</vt:lpstr>
      <vt:lpstr>PP_Species</vt:lpstr>
      <vt:lpstr>N-15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Shelford</dc:creator>
  <cp:lastModifiedBy>Emma Shelford</cp:lastModifiedBy>
  <dcterms:created xsi:type="dcterms:W3CDTF">2013-08-29T19:15:33Z</dcterms:created>
  <dcterms:modified xsi:type="dcterms:W3CDTF">2018-02-06T17:22:33Z</dcterms:modified>
</cp:coreProperties>
</file>